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showInkAnnotation="0" codeName="DieseArbeitsmappe" defaultThemeVersion="124226"/>
  <mc:AlternateContent xmlns:mc="http://schemas.openxmlformats.org/markup-compatibility/2006">
    <mc:Choice Requires="x15">
      <x15ac:absPath xmlns:x15ac="http://schemas.microsoft.com/office/spreadsheetml/2010/11/ac" url="\\BOOLE\Proyectos\PR_UE_H2020_2017_INDUCE\WP3\Task 3.4\Repository Documents\"/>
    </mc:Choice>
  </mc:AlternateContent>
  <xr:revisionPtr revIDLastSave="0" documentId="13_ncr:1_{41E4B20F-6D50-4CEB-84B6-6404C8E725E8}" xr6:coauthVersionLast="43" xr6:coauthVersionMax="43" xr10:uidLastSave="{00000000-0000-0000-0000-000000000000}"/>
  <bookViews>
    <workbookView xWindow="28680" yWindow="-120" windowWidth="29040" windowHeight="15840" tabRatio="783" firstSheet="1" activeTab="1" xr2:uid="{00000000-000D-0000-FFFF-FFFF00000000}"/>
  </bookViews>
  <sheets>
    <sheet name="!" sheetId="13" state="veryHidden" r:id="rId1"/>
    <sheet name="Translation Table (internal)" sheetId="48" r:id="rId2"/>
    <sheet name="Basic Settings" sheetId="49" r:id="rId3"/>
    <sheet name="Reference" sheetId="11" r:id="rId4"/>
    <sheet name="Baseline" sheetId="24" r:id="rId5"/>
    <sheet name="Monitoring" sheetId="22" r:id="rId6"/>
    <sheet name="Report" sheetId="42" r:id="rId7"/>
    <sheet name="Disclaimer" sheetId="50" r:id="rId8"/>
    <sheet name="Excercise 1" sheetId="51" state="hidden" r:id="rId9"/>
    <sheet name="Excercise Baseline" sheetId="60" r:id="rId10"/>
    <sheet name="Exercise Monitoring" sheetId="63" r:id="rId11"/>
    <sheet name="!!" sheetId="21" state="veryHidden" r:id="rId12"/>
    <sheet name="E) Effizienz-Report" sheetId="23" state="veryHidden" r:id="rId13"/>
  </sheets>
  <definedNames>
    <definedName name="_xlnm._FilterDatabase" localSheetId="0" hidden="1">'!!'!$C$24:$C$25</definedName>
    <definedName name="_xlnm._FilterDatabase" localSheetId="11" hidden="1">'!!'!$C$24:$C$25</definedName>
    <definedName name="a">Baseline!$O$7</definedName>
    <definedName name="abkürzung">Baseline!$D$55:$F$58</definedName>
    <definedName name="An_Aus">'!'!$HB$3:$HB$4</definedName>
    <definedName name="_xlnm.Print_Area" localSheetId="6">Report!$B$4:$O$51</definedName>
    <definedName name="b">Baseline!$O$7:$W$33</definedName>
    <definedName name="Baseline">'!!'!$B$25:$D$390</definedName>
    <definedName name="Daten.B">Reference!$C$25:$H$390</definedName>
    <definedName name="Dia.y.Me.y">OFFSET('!!'!$D$24,'!'!$GJ$7+1,0,'!'!$GJ$8-'!'!$GJ$7)</definedName>
    <definedName name="Dia.y.Mo.y">OFFSET('!!'!$G$24,'!'!$GJ$7+1,0,'!'!$GJ$8-'!'!$GJ$7)</definedName>
    <definedName name="Dia.y.MoMe.y">OFFSET('!'!$GJ$24,'!'!$GJ$7+1,0,'!'!$GJ$8-'!'!$GJ$7)</definedName>
    <definedName name="Dia.y.MoMeAbw.y">OFFSET('!'!$GK$24,'!'!$GJ$7+1,0,'!'!$GJ$8-'!'!$GJ$7)</definedName>
    <definedName name="Dia.y.x">OFFSET('!!'!$B$24,'!'!$GJ$7+1,0,'!'!$GJ$8-'!'!$GJ$7)</definedName>
    <definedName name="Dia.y1.Me.y">OFFSET('!'!$GM$24,'!'!$GJ$7+1,0,'!'!$GJ$8-'!'!$GJ$7)</definedName>
    <definedName name="Dia.y1.Mo.y">OFFSET('!!'!#REF!,'!'!$GJ$7+1,0,'!'!$GJ$8-'!'!$GJ$7)</definedName>
    <definedName name="Dia.y1.x">OFFSET('!!'!$I$24,'!'!$GJ$7+1,0,'!'!$GJ$8-'!'!$GJ$7)</definedName>
    <definedName name="Dia.y2.Me.y">OFFSET('!'!$GN$24,'!'!$GJ$7+1,0,'!'!$GJ$8-'!'!$GJ$7)</definedName>
    <definedName name="Dia.y2.Mo.y">OFFSET('!!'!$J$24,'!'!$GJ$7+1,0,'!'!$GJ$8-'!'!$GJ$7)</definedName>
    <definedName name="Dia.y2.x">OFFSET('!!'!$K$24,'!'!$GJ$7+1,0,'!'!$GJ$8-'!'!$GJ$7)</definedName>
    <definedName name="Dia.y3.Me.y">OFFSET('!'!$GO$24,'!'!$GJ$7+1,0,'!'!$GJ$8-'!'!$GJ$7)</definedName>
    <definedName name="Dia.y3.Mo.y">OFFSET('!!'!$L$24,'!'!$GJ$7+1,0,'!'!$GJ$8-'!'!$GJ$7)</definedName>
    <definedName name="Dia.y3.x">OFFSET('!!'!$M$24,'!'!$GJ$7+1,0,'!'!$GJ$8-'!'!$GJ$7)</definedName>
    <definedName name="Dia.y4.Me.y">OFFSET('!'!$GP$24,'!'!$GJ$7+1,0,'!'!$GJ$8-'!'!$GJ$7)</definedName>
    <definedName name="Dia.y4.Mo.y">OFFSET('!!'!$N$24,'!'!$GJ$7+1,0,'!'!$GJ$8-'!'!$GJ$7)</definedName>
    <definedName name="Dia.y4.x">OFFSET('!!'!$O$24,'!'!$GJ$7+1,0,'!'!$GJ$8-'!'!$GJ$7)</definedName>
    <definedName name="Dia.y5.Me.x">OFFSET('!'!$GS$24,'!'!$GJ$7+1,0,'!'!$GJ$8-'!'!$GJ$7)</definedName>
    <definedName name="Dia.y5.Me.y">OFFSET('!'!$GQ$24,'!'!$GJ$7+1,0,'!'!$GJ$8-'!'!$GJ$7)</definedName>
    <definedName name="Dia.y5.Mo.y">Baseline!$G$55</definedName>
    <definedName name="Einflussgrößen">'!'!$GR$2:$GR$5</definedName>
    <definedName name="einflussx">Baseline!$B$55:$E$58</definedName>
    <definedName name="einheitstreu">Baseline!$D$55:$F$58</definedName>
    <definedName name="EinheitX">'!'!$GR$2:$GS$5</definedName>
    <definedName name="Histo.Fälle">OFFSET('!'!$HS$25,0,0,'!'!$HT$24)</definedName>
    <definedName name="Histo.Res">OFFSET('!'!$HR$25,0,0,'!'!$HT$24)</definedName>
    <definedName name="LEW">'!'!$HD$3:$HD$4</definedName>
    <definedName name="M_B">'!'!$HE$3:$HE$4</definedName>
    <definedName name="UAV">Baseline!$N$24:$N$31</definedName>
    <definedName name="x">OFFSET('!'!$GW$25,'!'!$GL$7,0,'!'!$GL$8-'!'!$GL$7,'!'!$GM$7)</definedName>
    <definedName name="x.1">OFFSET('!'!$GW$25,'!'!$GL$7,0,'!'!$GL$8-'!'!$GL$7)</definedName>
    <definedName name="x.2">OFFSET('!'!$GX$25,'!'!$GL$7,0,'!'!$GL$8-'!'!$GL$7)</definedName>
    <definedName name="x.3">OFFSET('!'!$GY$25,'!'!$GL$7,0,'!'!$GL$8-'!'!$GL$7)</definedName>
    <definedName name="x.4">OFFSET('!'!$GZ$25,'!'!$GL$7,0,'!'!$GL$8-'!'!$GL$7)</definedName>
    <definedName name="y">OFFSET('!'!$GV$25,'!'!$GL$7,0,'!'!$GL$8-'!'!$GL$7)</definedName>
    <definedName name="ymod">OFFSET('!'!$HF$25,'!'!$GL$7,0,'!'!$GL$8-'!'!$GL$7)</definedName>
    <definedName name="ZB">Reference!$C$25:$C$390</definedName>
    <definedName name="Zeitbezug">'!'!$HG$2:$HG$5</definedName>
    <definedName name="Zeiten.V">IF(Report!$D$4='!'!$HE$4,Zeitraum.B,Zeitraum.M)</definedName>
    <definedName name="Zeitraum.B">Reference!$C$25:$C$390</definedName>
    <definedName name="Zeitraum.M">Monitoring!$C$25:$C$390</definedName>
    <definedName name="ZM">Monitoring!$C$25:$C$390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V1" i="13" l="1"/>
  <c r="HU1" i="13" s="1"/>
  <c r="HT1" i="13" s="1"/>
  <c r="HS1" i="13" s="1"/>
  <c r="A73" i="48"/>
  <c r="A74" i="48"/>
  <c r="A75" i="48"/>
  <c r="A76" i="48"/>
  <c r="A77" i="48"/>
  <c r="A78" i="48"/>
  <c r="A79" i="48"/>
  <c r="A80" i="48"/>
  <c r="A81" i="48"/>
  <c r="A82" i="48"/>
  <c r="A83" i="48"/>
  <c r="A84" i="48"/>
  <c r="A85" i="48"/>
  <c r="A86" i="48"/>
  <c r="A87" i="48"/>
  <c r="A88" i="48"/>
  <c r="A89" i="48"/>
  <c r="A90" i="48"/>
  <c r="A91" i="48"/>
  <c r="A92" i="48"/>
  <c r="A93" i="48"/>
  <c r="A94" i="48"/>
  <c r="A95" i="48"/>
  <c r="A96" i="48"/>
  <c r="A97" i="48"/>
  <c r="A98" i="48"/>
  <c r="A99" i="48"/>
  <c r="A100" i="48"/>
  <c r="A101" i="48"/>
  <c r="A102" i="48"/>
  <c r="A103" i="48"/>
  <c r="C23" i="22" l="1"/>
  <c r="A8" i="48" l="1"/>
  <c r="B23" i="49" s="1"/>
  <c r="A9" i="48"/>
  <c r="B24" i="49" s="1"/>
  <c r="A7" i="50"/>
  <c r="A8" i="50"/>
  <c r="A10" i="50"/>
  <c r="A11" i="50"/>
  <c r="A23" i="50"/>
  <c r="A24" i="50"/>
  <c r="A7" i="48" l="1"/>
  <c r="G4" i="49" s="1"/>
  <c r="A3" i="48"/>
  <c r="E2" i="49" s="1"/>
  <c r="A4" i="48"/>
  <c r="B10" i="49" s="1"/>
  <c r="A5" i="48"/>
  <c r="B13" i="49" s="1"/>
  <c r="A6" i="48"/>
  <c r="B15" i="49" s="1"/>
  <c r="A11" i="48"/>
  <c r="A12" i="48"/>
  <c r="A13" i="48"/>
  <c r="A14" i="48"/>
  <c r="A15" i="48"/>
  <c r="A16" i="48"/>
  <c r="A17" i="48"/>
  <c r="A18" i="48"/>
  <c r="A19" i="48"/>
  <c r="D16" i="11" s="1"/>
  <c r="A20" i="48"/>
  <c r="D20" i="11" s="1"/>
  <c r="A21" i="48"/>
  <c r="D22" i="11" s="1"/>
  <c r="A22" i="48"/>
  <c r="A23" i="48"/>
  <c r="E16" i="11" s="1"/>
  <c r="A24" i="48"/>
  <c r="A25" i="48"/>
  <c r="F16" i="11" s="1"/>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54" i="48"/>
  <c r="A55" i="48"/>
  <c r="A56" i="48"/>
  <c r="A57" i="48"/>
  <c r="A58" i="48"/>
  <c r="A59" i="48"/>
  <c r="A60" i="48"/>
  <c r="A61" i="48"/>
  <c r="A62" i="48"/>
  <c r="A63" i="48"/>
  <c r="A64" i="48"/>
  <c r="A65" i="48"/>
  <c r="A66" i="48"/>
  <c r="A67" i="48"/>
  <c r="A69" i="48"/>
  <c r="A70" i="48"/>
  <c r="A72" i="48"/>
  <c r="F11" i="42"/>
  <c r="A2" i="48"/>
  <c r="B6" i="49" s="1"/>
  <c r="G11" i="42"/>
  <c r="C11" i="42" l="1"/>
  <c r="F31" i="42"/>
  <c r="K45" i="42"/>
  <c r="E13" i="22"/>
  <c r="E9" i="11"/>
  <c r="K46" i="42"/>
  <c r="K42" i="42"/>
  <c r="HF4" i="13"/>
  <c r="HF3" i="13"/>
  <c r="GK24" i="13"/>
  <c r="GS15" i="13"/>
  <c r="GS14" i="13"/>
  <c r="K39" i="42"/>
  <c r="I39" i="42"/>
  <c r="C39" i="42"/>
  <c r="F33" i="42"/>
  <c r="C37" i="42"/>
  <c r="F36" i="42" s="1"/>
  <c r="C31" i="42"/>
  <c r="C12" i="42"/>
  <c r="C9" i="42"/>
  <c r="F4" i="42"/>
  <c r="C4" i="42"/>
  <c r="F2" i="42"/>
  <c r="E12" i="22"/>
  <c r="D59" i="24"/>
  <c r="K53" i="24"/>
  <c r="J53" i="24"/>
  <c r="I54" i="24"/>
  <c r="I53" i="24"/>
  <c r="G39" i="42" s="1"/>
  <c r="H54" i="24"/>
  <c r="H53" i="24"/>
  <c r="G54" i="24"/>
  <c r="G53" i="24"/>
  <c r="F39" i="42" s="1"/>
  <c r="F54" i="24"/>
  <c r="F53" i="24"/>
  <c r="D54" i="24"/>
  <c r="D53" i="24"/>
  <c r="D51" i="24"/>
  <c r="K45" i="24"/>
  <c r="J45" i="24"/>
  <c r="I45" i="24"/>
  <c r="H48" i="24"/>
  <c r="H47" i="24"/>
  <c r="H46" i="24"/>
  <c r="H42" i="24"/>
  <c r="F46" i="24"/>
  <c r="F47" i="24"/>
  <c r="F48" i="24"/>
  <c r="F45" i="24"/>
  <c r="D48" i="24"/>
  <c r="D47" i="24"/>
  <c r="K44" i="42" s="1"/>
  <c r="D46" i="24"/>
  <c r="D45" i="24"/>
  <c r="K40" i="42" s="1"/>
  <c r="D42" i="24"/>
  <c r="D15" i="24"/>
  <c r="D14" i="24"/>
  <c r="H9" i="24"/>
  <c r="D9" i="24"/>
  <c r="J6" i="24"/>
  <c r="H6" i="24"/>
  <c r="F6" i="24"/>
  <c r="D5" i="24"/>
  <c r="D4" i="24"/>
  <c r="K1" i="24"/>
  <c r="E1" i="24"/>
  <c r="F15" i="11"/>
  <c r="E15" i="11"/>
  <c r="C22" i="11"/>
  <c r="C20" i="11"/>
  <c r="C16" i="11"/>
  <c r="C15" i="11"/>
  <c r="E8" i="11"/>
  <c r="C35" i="42"/>
  <c r="C33" i="42"/>
  <c r="K47" i="42" l="1"/>
  <c r="L47" i="4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183" i="22"/>
  <c r="A184" i="22"/>
  <c r="A185" i="22"/>
  <c r="A186" i="22"/>
  <c r="A187" i="22"/>
  <c r="A188" i="22"/>
  <c r="A189" i="22"/>
  <c r="A190" i="22"/>
  <c r="A191" i="22"/>
  <c r="A192" i="22"/>
  <c r="A193" i="22"/>
  <c r="A194" i="22"/>
  <c r="A195" i="22"/>
  <c r="A196" i="22"/>
  <c r="A197" i="22"/>
  <c r="A198" i="22"/>
  <c r="A199" i="22"/>
  <c r="A200" i="22"/>
  <c r="A201" i="22"/>
  <c r="A202" i="22"/>
  <c r="A203" i="22"/>
  <c r="A204" i="22"/>
  <c r="A205" i="22"/>
  <c r="A206" i="22"/>
  <c r="A207" i="22"/>
  <c r="A208" i="22"/>
  <c r="A209" i="22"/>
  <c r="A210" i="22"/>
  <c r="A211" i="22"/>
  <c r="A212" i="22"/>
  <c r="A213" i="22"/>
  <c r="A214" i="22"/>
  <c r="A215" i="22"/>
  <c r="A216" i="22"/>
  <c r="A217" i="22"/>
  <c r="A218" i="22"/>
  <c r="A219" i="22"/>
  <c r="A220" i="22"/>
  <c r="A221" i="22"/>
  <c r="A222" i="22"/>
  <c r="A223" i="22"/>
  <c r="A224" i="22"/>
  <c r="A225" i="22"/>
  <c r="A226" i="22"/>
  <c r="A227" i="22"/>
  <c r="A228" i="22"/>
  <c r="A229" i="22"/>
  <c r="A230" i="22"/>
  <c r="A231" i="22"/>
  <c r="A232" i="22"/>
  <c r="A233" i="22"/>
  <c r="A234" i="22"/>
  <c r="A235" i="22"/>
  <c r="A236" i="22"/>
  <c r="A237" i="22"/>
  <c r="A238" i="22"/>
  <c r="A239" i="22"/>
  <c r="A240" i="22"/>
  <c r="A241" i="22"/>
  <c r="A242" i="22"/>
  <c r="A243" i="22"/>
  <c r="A244" i="22"/>
  <c r="A245" i="22"/>
  <c r="A246" i="22"/>
  <c r="A247" i="22"/>
  <c r="A248" i="22"/>
  <c r="A249" i="22"/>
  <c r="A250" i="22"/>
  <c r="A251" i="22"/>
  <c r="A252" i="22"/>
  <c r="A253" i="22"/>
  <c r="A254" i="22"/>
  <c r="A255" i="22"/>
  <c r="A256" i="22"/>
  <c r="A257" i="22"/>
  <c r="A258" i="22"/>
  <c r="A259" i="22"/>
  <c r="A260" i="22"/>
  <c r="A261" i="22"/>
  <c r="A262" i="22"/>
  <c r="A263" i="22"/>
  <c r="A264" i="22"/>
  <c r="A265" i="22"/>
  <c r="A266" i="22"/>
  <c r="A267" i="22"/>
  <c r="A268" i="22"/>
  <c r="A269" i="22"/>
  <c r="A270" i="22"/>
  <c r="A271" i="22"/>
  <c r="A272" i="22"/>
  <c r="A273" i="22"/>
  <c r="A274" i="22"/>
  <c r="A275" i="22"/>
  <c r="A276" i="22"/>
  <c r="A277" i="22"/>
  <c r="A278" i="22"/>
  <c r="A279" i="22"/>
  <c r="A280" i="22"/>
  <c r="A281" i="22"/>
  <c r="A282" i="22"/>
  <c r="A283" i="22"/>
  <c r="A284" i="22"/>
  <c r="A285" i="22"/>
  <c r="A286" i="22"/>
  <c r="A287" i="22"/>
  <c r="A288" i="22"/>
  <c r="A289" i="22"/>
  <c r="A290" i="22"/>
  <c r="A291" i="22"/>
  <c r="A292" i="22"/>
  <c r="A293" i="22"/>
  <c r="A294" i="22"/>
  <c r="A295" i="22"/>
  <c r="A296" i="22"/>
  <c r="A297" i="22"/>
  <c r="A298" i="22"/>
  <c r="A299" i="22"/>
  <c r="A300" i="22"/>
  <c r="A301" i="22"/>
  <c r="A302" i="22"/>
  <c r="A303" i="22"/>
  <c r="A304" i="22"/>
  <c r="A305" i="22"/>
  <c r="A306" i="22"/>
  <c r="A307" i="22"/>
  <c r="A308" i="22"/>
  <c r="A309" i="22"/>
  <c r="A310" i="22"/>
  <c r="A311" i="22"/>
  <c r="A312" i="22"/>
  <c r="A313" i="22"/>
  <c r="A314" i="22"/>
  <c r="A315" i="22"/>
  <c r="A316" i="22"/>
  <c r="A317" i="22"/>
  <c r="A318" i="22"/>
  <c r="A319" i="22"/>
  <c r="A320" i="22"/>
  <c r="A321" i="22"/>
  <c r="A322" i="22"/>
  <c r="A323" i="22"/>
  <c r="A324" i="22"/>
  <c r="A325" i="22"/>
  <c r="A326" i="22"/>
  <c r="A327" i="22"/>
  <c r="A328" i="22"/>
  <c r="A329" i="22"/>
  <c r="A330" i="22"/>
  <c r="A331" i="22"/>
  <c r="A332" i="22"/>
  <c r="A333" i="22"/>
  <c r="A334" i="22"/>
  <c r="A335" i="22"/>
  <c r="A336" i="22"/>
  <c r="A337" i="22"/>
  <c r="A338" i="22"/>
  <c r="A339" i="22"/>
  <c r="A340" i="22"/>
  <c r="A341" i="22"/>
  <c r="A342" i="22"/>
  <c r="A343" i="22"/>
  <c r="A344" i="22"/>
  <c r="A345" i="22"/>
  <c r="A346" i="22"/>
  <c r="A347" i="22"/>
  <c r="A348" i="22"/>
  <c r="A349" i="22"/>
  <c r="A350" i="22"/>
  <c r="A351" i="22"/>
  <c r="A352" i="22"/>
  <c r="A353" i="22"/>
  <c r="A354" i="22"/>
  <c r="A355" i="22"/>
  <c r="A356" i="22"/>
  <c r="A357" i="22"/>
  <c r="A358" i="22"/>
  <c r="A359" i="22"/>
  <c r="A360" i="22"/>
  <c r="A361" i="22"/>
  <c r="A362" i="22"/>
  <c r="A363" i="22"/>
  <c r="A364" i="22"/>
  <c r="A365" i="22"/>
  <c r="A366" i="22"/>
  <c r="A367" i="22"/>
  <c r="A368" i="22"/>
  <c r="A369" i="22"/>
  <c r="A370" i="22"/>
  <c r="A371" i="22"/>
  <c r="A372" i="22"/>
  <c r="A373" i="22"/>
  <c r="A374" i="22"/>
  <c r="A375" i="22"/>
  <c r="A376" i="22"/>
  <c r="A377" i="22"/>
  <c r="A378" i="22"/>
  <c r="A379" i="22"/>
  <c r="A380" i="22"/>
  <c r="A381" i="22"/>
  <c r="A382" i="22"/>
  <c r="A383" i="22"/>
  <c r="A384" i="22"/>
  <c r="A385" i="22"/>
  <c r="A386" i="22"/>
  <c r="A387" i="22"/>
  <c r="A388" i="22"/>
  <c r="A389" i="22"/>
  <c r="A390" i="22"/>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5" i="11"/>
  <c r="A36" i="11"/>
  <c r="A37" i="11"/>
  <c r="A38" i="11"/>
  <c r="A26" i="11"/>
  <c r="A25"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26" i="11"/>
  <c r="J27" i="11"/>
  <c r="J28" i="11"/>
  <c r="J29" i="11"/>
  <c r="J30" i="11"/>
  <c r="J31" i="11"/>
  <c r="J32" i="11"/>
  <c r="J33" i="11"/>
  <c r="J34" i="11"/>
  <c r="J35" i="11"/>
  <c r="J36" i="11"/>
  <c r="J37" i="11"/>
  <c r="J38" i="11"/>
  <c r="J39" i="11"/>
  <c r="J25" i="11"/>
  <c r="K25" i="11" s="1"/>
  <c r="O18" i="21"/>
  <c r="G12" i="21"/>
  <c r="HV2" i="13"/>
  <c r="H18" i="11" s="1"/>
  <c r="HU2" i="13"/>
  <c r="G18" i="11" s="1"/>
  <c r="HT2" i="13"/>
  <c r="F18" i="11" s="1"/>
  <c r="G15" i="22"/>
  <c r="E16" i="22"/>
  <c r="D16" i="22"/>
  <c r="E15" i="22"/>
  <c r="C15" i="22"/>
  <c r="E22" i="11"/>
  <c r="F22" i="11" s="1"/>
  <c r="G22" i="11" s="1"/>
  <c r="H22" i="11" s="1"/>
  <c r="H22" i="22" s="1"/>
  <c r="E20" i="11"/>
  <c r="E20" i="22" s="1"/>
  <c r="K27" i="11" l="1"/>
  <c r="A27" i="11" s="1"/>
  <c r="K26" i="11"/>
  <c r="K28" i="11"/>
  <c r="A28" i="11" s="1"/>
  <c r="K31" i="11"/>
  <c r="A31" i="11" s="1"/>
  <c r="K32" i="11"/>
  <c r="A32" i="11" s="1"/>
  <c r="K29" i="11"/>
  <c r="A29" i="11" s="1"/>
  <c r="K30" i="11"/>
  <c r="A30" i="11" s="1"/>
  <c r="E22" i="22"/>
  <c r="GK7" i="13"/>
  <c r="GM7" i="13" s="1"/>
  <c r="F22" i="22"/>
  <c r="K33" i="11"/>
  <c r="A33" i="11" s="1"/>
  <c r="K41" i="11"/>
  <c r="K36" i="11"/>
  <c r="K38" i="11"/>
  <c r="K40" i="11"/>
  <c r="K37" i="11"/>
  <c r="K34" i="11"/>
  <c r="A34" i="11" s="1"/>
  <c r="K35" i="11"/>
  <c r="K39" i="11"/>
  <c r="HS2" i="13"/>
  <c r="E18" i="11" s="1"/>
  <c r="F20" i="11"/>
  <c r="K390" i="11"/>
  <c r="G22" i="22"/>
  <c r="K225" i="11"/>
  <c r="K81" i="11"/>
  <c r="K97" i="11"/>
  <c r="K105" i="11"/>
  <c r="K233" i="11"/>
  <c r="K241" i="11"/>
  <c r="K273" i="11"/>
  <c r="K281" i="11"/>
  <c r="K289" i="11"/>
  <c r="K297" i="11"/>
  <c r="K305" i="11"/>
  <c r="K313" i="11"/>
  <c r="K321" i="11"/>
  <c r="K329" i="11"/>
  <c r="K337" i="11"/>
  <c r="K345" i="11"/>
  <c r="K353" i="11"/>
  <c r="K361" i="11"/>
  <c r="K369" i="11"/>
  <c r="K377" i="11"/>
  <c r="K385" i="11"/>
  <c r="K44" i="11"/>
  <c r="K52" i="11"/>
  <c r="K60" i="11"/>
  <c r="K68" i="11"/>
  <c r="K76" i="11"/>
  <c r="K84" i="11"/>
  <c r="K92" i="11"/>
  <c r="K100" i="11"/>
  <c r="K108" i="11"/>
  <c r="K116" i="11"/>
  <c r="K124" i="11"/>
  <c r="K132" i="11"/>
  <c r="K140" i="11"/>
  <c r="K148" i="11"/>
  <c r="K156" i="11"/>
  <c r="K164" i="11"/>
  <c r="K172" i="11"/>
  <c r="K180" i="11"/>
  <c r="K188" i="11"/>
  <c r="K196" i="11"/>
  <c r="K204" i="11"/>
  <c r="K212" i="11"/>
  <c r="K220" i="11"/>
  <c r="K228" i="11"/>
  <c r="K236" i="11"/>
  <c r="K244" i="11"/>
  <c r="K252" i="11"/>
  <c r="K260" i="11"/>
  <c r="K268" i="11"/>
  <c r="K276" i="11"/>
  <c r="K284" i="11"/>
  <c r="K292" i="11"/>
  <c r="K300" i="11"/>
  <c r="K308" i="11"/>
  <c r="K316" i="11"/>
  <c r="K324" i="11"/>
  <c r="K332" i="11"/>
  <c r="K340" i="11"/>
  <c r="K348" i="11"/>
  <c r="K356" i="11"/>
  <c r="K364" i="11"/>
  <c r="K372" i="11"/>
  <c r="K380" i="11"/>
  <c r="K388" i="11"/>
  <c r="K65" i="11"/>
  <c r="K103" i="11"/>
  <c r="K167" i="11"/>
  <c r="K183" i="11"/>
  <c r="K223" i="11"/>
  <c r="K271" i="11"/>
  <c r="K295" i="11"/>
  <c r="K303" i="11"/>
  <c r="K343" i="11"/>
  <c r="K42" i="11"/>
  <c r="K82" i="11"/>
  <c r="K106" i="11"/>
  <c r="K122" i="11"/>
  <c r="K130" i="11"/>
  <c r="K138" i="11"/>
  <c r="K146" i="11"/>
  <c r="K154" i="11"/>
  <c r="K162" i="11"/>
  <c r="K170" i="11"/>
  <c r="K178" i="11"/>
  <c r="K186" i="11"/>
  <c r="K194" i="11"/>
  <c r="K202" i="11"/>
  <c r="K210" i="11"/>
  <c r="K218" i="11"/>
  <c r="K226" i="11"/>
  <c r="K234" i="11"/>
  <c r="K242" i="11"/>
  <c r="K250" i="11"/>
  <c r="K258" i="11"/>
  <c r="K266" i="11"/>
  <c r="K274" i="11"/>
  <c r="K282" i="11"/>
  <c r="K290" i="11"/>
  <c r="K298" i="11"/>
  <c r="K306" i="11"/>
  <c r="K314" i="11"/>
  <c r="K322" i="11"/>
  <c r="K330" i="11"/>
  <c r="K338" i="11"/>
  <c r="K346" i="11"/>
  <c r="K354" i="11"/>
  <c r="K362" i="11"/>
  <c r="K370" i="11"/>
  <c r="K378" i="11"/>
  <c r="K386" i="11"/>
  <c r="K113" i="11"/>
  <c r="K145" i="11"/>
  <c r="K169" i="11"/>
  <c r="K249" i="11"/>
  <c r="K47" i="11"/>
  <c r="K143" i="11"/>
  <c r="K159" i="11"/>
  <c r="K191" i="11"/>
  <c r="K199" i="11"/>
  <c r="K231" i="11"/>
  <c r="K255" i="11"/>
  <c r="K263" i="11"/>
  <c r="K311" i="11"/>
  <c r="K319" i="11"/>
  <c r="K351" i="11"/>
  <c r="K98" i="11"/>
  <c r="K114" i="11"/>
  <c r="K45" i="11"/>
  <c r="K53" i="11"/>
  <c r="K61" i="11"/>
  <c r="K69" i="11"/>
  <c r="K77" i="11"/>
  <c r="K85" i="11"/>
  <c r="K93" i="11"/>
  <c r="K101" i="11"/>
  <c r="K109" i="11"/>
  <c r="K117" i="11"/>
  <c r="K125" i="11"/>
  <c r="K133" i="11"/>
  <c r="K141" i="11"/>
  <c r="K149" i="11"/>
  <c r="K157" i="11"/>
  <c r="K165" i="11"/>
  <c r="K173" i="11"/>
  <c r="K181" i="11"/>
  <c r="K189" i="11"/>
  <c r="K197" i="11"/>
  <c r="K205" i="11"/>
  <c r="K213" i="11"/>
  <c r="K221" i="11"/>
  <c r="K229" i="11"/>
  <c r="K237" i="11"/>
  <c r="K245" i="11"/>
  <c r="K253" i="11"/>
  <c r="K261" i="11"/>
  <c r="K269" i="11"/>
  <c r="K277" i="11"/>
  <c r="K285" i="11"/>
  <c r="K293" i="11"/>
  <c r="K301" i="11"/>
  <c r="K309" i="11"/>
  <c r="K317" i="11"/>
  <c r="K325" i="11"/>
  <c r="K333" i="11"/>
  <c r="K341" i="11"/>
  <c r="K349" i="11"/>
  <c r="K357" i="11"/>
  <c r="K365" i="11"/>
  <c r="K373" i="11"/>
  <c r="K381" i="11"/>
  <c r="K389" i="11"/>
  <c r="K73" i="11"/>
  <c r="K89" i="11"/>
  <c r="K209" i="11"/>
  <c r="K217" i="11"/>
  <c r="K265" i="11"/>
  <c r="K55" i="11"/>
  <c r="K87" i="11"/>
  <c r="K95" i="11"/>
  <c r="K111" i="11"/>
  <c r="K151" i="11"/>
  <c r="K359" i="11"/>
  <c r="K367" i="11"/>
  <c r="K50" i="11"/>
  <c r="K58" i="11"/>
  <c r="K90" i="11"/>
  <c r="K64" i="11"/>
  <c r="K72" i="11"/>
  <c r="K80" i="11"/>
  <c r="K88" i="11"/>
  <c r="K96" i="11"/>
  <c r="K104" i="11"/>
  <c r="K112" i="11"/>
  <c r="K120" i="11"/>
  <c r="K128" i="11"/>
  <c r="K136" i="11"/>
  <c r="K144" i="11"/>
  <c r="K152" i="11"/>
  <c r="K160" i="11"/>
  <c r="K168" i="11"/>
  <c r="K176" i="11"/>
  <c r="K184" i="11"/>
  <c r="K192" i="11"/>
  <c r="K200" i="11"/>
  <c r="K208" i="11"/>
  <c r="K216" i="11"/>
  <c r="K224" i="11"/>
  <c r="K232" i="11"/>
  <c r="K240" i="11"/>
  <c r="K248" i="11"/>
  <c r="K256" i="11"/>
  <c r="K264" i="11"/>
  <c r="K272" i="11"/>
  <c r="K280" i="11"/>
  <c r="K288" i="11"/>
  <c r="K296" i="11"/>
  <c r="K304" i="11"/>
  <c r="K312" i="11"/>
  <c r="K320" i="11"/>
  <c r="K328" i="11"/>
  <c r="K336" i="11"/>
  <c r="K344" i="11"/>
  <c r="K352" i="11"/>
  <c r="K360" i="11"/>
  <c r="K368" i="11"/>
  <c r="K376" i="11"/>
  <c r="K384" i="11"/>
  <c r="K137" i="11"/>
  <c r="K161" i="11"/>
  <c r="K185" i="11"/>
  <c r="K193" i="11"/>
  <c r="K201" i="11"/>
  <c r="K257" i="11"/>
  <c r="K79" i="11"/>
  <c r="K175" i="11"/>
  <c r="K207" i="11"/>
  <c r="K215" i="11"/>
  <c r="K239" i="11"/>
  <c r="K279" i="11"/>
  <c r="K287" i="11"/>
  <c r="K66" i="11"/>
  <c r="K74" i="11"/>
  <c r="K48" i="11"/>
  <c r="K56" i="11"/>
  <c r="K43" i="11"/>
  <c r="K51" i="11"/>
  <c r="K59" i="11"/>
  <c r="K67" i="11"/>
  <c r="K75" i="11"/>
  <c r="K83" i="11"/>
  <c r="K91" i="11"/>
  <c r="K99" i="11"/>
  <c r="K107" i="11"/>
  <c r="K115" i="11"/>
  <c r="K123" i="11"/>
  <c r="K131" i="11"/>
  <c r="K139" i="11"/>
  <c r="K147" i="11"/>
  <c r="K155" i="11"/>
  <c r="K163" i="11"/>
  <c r="K171" i="11"/>
  <c r="K179" i="11"/>
  <c r="K187" i="11"/>
  <c r="K195" i="11"/>
  <c r="K203" i="11"/>
  <c r="K211" i="11"/>
  <c r="K219" i="11"/>
  <c r="K227" i="11"/>
  <c r="K235" i="11"/>
  <c r="K243" i="11"/>
  <c r="K251" i="11"/>
  <c r="K259" i="11"/>
  <c r="K267" i="11"/>
  <c r="K275" i="11"/>
  <c r="K283" i="11"/>
  <c r="K291" i="11"/>
  <c r="K299" i="11"/>
  <c r="K307" i="11"/>
  <c r="K315" i="11"/>
  <c r="K323" i="11"/>
  <c r="K331" i="11"/>
  <c r="K339" i="11"/>
  <c r="K347" i="11"/>
  <c r="K355" i="11"/>
  <c r="K363" i="11"/>
  <c r="K371" i="11"/>
  <c r="K379" i="11"/>
  <c r="K387" i="11"/>
  <c r="K49" i="11"/>
  <c r="K57" i="11"/>
  <c r="K121" i="11"/>
  <c r="K129" i="11"/>
  <c r="K153" i="11"/>
  <c r="K177" i="11"/>
  <c r="K63" i="11"/>
  <c r="K71" i="11"/>
  <c r="K119" i="11"/>
  <c r="K127" i="11"/>
  <c r="K135" i="11"/>
  <c r="K247" i="11"/>
  <c r="K327" i="11"/>
  <c r="K335" i="11"/>
  <c r="K375" i="11"/>
  <c r="K383" i="11"/>
  <c r="K46" i="11"/>
  <c r="K54" i="11"/>
  <c r="K62" i="11"/>
  <c r="K70" i="11"/>
  <c r="K78" i="11"/>
  <c r="K86" i="11"/>
  <c r="K94" i="11"/>
  <c r="K102" i="11"/>
  <c r="K110" i="11"/>
  <c r="K118" i="11"/>
  <c r="K126" i="11"/>
  <c r="K134" i="11"/>
  <c r="K142" i="11"/>
  <c r="K150" i="11"/>
  <c r="K158" i="11"/>
  <c r="K166" i="11"/>
  <c r="K174" i="11"/>
  <c r="K182" i="11"/>
  <c r="K190" i="11"/>
  <c r="K198" i="11"/>
  <c r="K206" i="11"/>
  <c r="K214" i="11"/>
  <c r="K222" i="11"/>
  <c r="K230" i="11"/>
  <c r="K238" i="11"/>
  <c r="K246" i="11"/>
  <c r="K254" i="11"/>
  <c r="K262" i="11"/>
  <c r="K270" i="11"/>
  <c r="K278" i="11"/>
  <c r="K286" i="11"/>
  <c r="K294" i="11"/>
  <c r="K302" i="11"/>
  <c r="K310" i="11"/>
  <c r="K318" i="11"/>
  <c r="K326" i="11"/>
  <c r="K334" i="11"/>
  <c r="K342" i="11"/>
  <c r="K350" i="11"/>
  <c r="K358" i="11"/>
  <c r="K366" i="11"/>
  <c r="K374" i="11"/>
  <c r="K382" i="11"/>
  <c r="G20" i="11" l="1"/>
  <c r="F20" i="22"/>
  <c r="H20" i="11" l="1"/>
  <c r="H20" i="22" s="1"/>
  <c r="G20" i="22"/>
  <c r="J36" i="24" l="1"/>
  <c r="D20" i="24"/>
  <c r="J9" i="24"/>
  <c r="H18" i="24" l="1"/>
  <c r="J390" i="22" l="1"/>
  <c r="J389" i="22"/>
  <c r="J388" i="22"/>
  <c r="J387" i="22"/>
  <c r="J386" i="22"/>
  <c r="J385" i="22"/>
  <c r="J384" i="22"/>
  <c r="J383" i="22"/>
  <c r="J382" i="22"/>
  <c r="J381" i="22"/>
  <c r="J380" i="22"/>
  <c r="J379" i="22"/>
  <c r="J378" i="22"/>
  <c r="J377" i="22"/>
  <c r="J376" i="22"/>
  <c r="J375" i="22"/>
  <c r="J374" i="22"/>
  <c r="J373" i="22"/>
  <c r="J372" i="22"/>
  <c r="J371" i="22"/>
  <c r="J370" i="22"/>
  <c r="J369" i="22"/>
  <c r="J368" i="22"/>
  <c r="J367" i="22"/>
  <c r="J366" i="22"/>
  <c r="J365" i="22"/>
  <c r="J364" i="22"/>
  <c r="J363" i="22"/>
  <c r="J362" i="22"/>
  <c r="J361" i="22"/>
  <c r="J360" i="22"/>
  <c r="J359" i="22"/>
  <c r="J358" i="22"/>
  <c r="J357" i="22"/>
  <c r="J356" i="22"/>
  <c r="J355" i="22"/>
  <c r="J354" i="22"/>
  <c r="J353" i="22"/>
  <c r="J352" i="22"/>
  <c r="J351" i="22"/>
  <c r="J350" i="22"/>
  <c r="J349" i="22"/>
  <c r="J348" i="22"/>
  <c r="J347" i="22"/>
  <c r="J346" i="22"/>
  <c r="J345" i="22"/>
  <c r="J344" i="22"/>
  <c r="J343" i="22"/>
  <c r="J342" i="22"/>
  <c r="J341" i="22"/>
  <c r="J340" i="22"/>
  <c r="J339" i="22"/>
  <c r="J338" i="22"/>
  <c r="J337" i="22"/>
  <c r="J336" i="22"/>
  <c r="J335" i="22"/>
  <c r="J334" i="22"/>
  <c r="J333" i="22"/>
  <c r="J332" i="22"/>
  <c r="J331" i="22"/>
  <c r="J330" i="22"/>
  <c r="J329" i="22"/>
  <c r="J328" i="22"/>
  <c r="J327" i="22"/>
  <c r="J326" i="22"/>
  <c r="J325" i="22"/>
  <c r="J324" i="22"/>
  <c r="J323" i="22"/>
  <c r="J322" i="22"/>
  <c r="J321" i="22"/>
  <c r="J320" i="22"/>
  <c r="J319" i="22"/>
  <c r="J318" i="22"/>
  <c r="J317" i="22"/>
  <c r="J316" i="22"/>
  <c r="J315" i="22"/>
  <c r="J314" i="22"/>
  <c r="J313" i="22"/>
  <c r="J312" i="22"/>
  <c r="J311" i="22"/>
  <c r="J310" i="22"/>
  <c r="J309" i="22"/>
  <c r="J308" i="22"/>
  <c r="J307" i="22"/>
  <c r="J306" i="22"/>
  <c r="J305" i="22"/>
  <c r="J304" i="22"/>
  <c r="J303" i="22"/>
  <c r="J302" i="22"/>
  <c r="J301" i="22"/>
  <c r="J300" i="22"/>
  <c r="J299" i="22"/>
  <c r="J298" i="22"/>
  <c r="J297" i="22"/>
  <c r="J296" i="22"/>
  <c r="J295" i="22"/>
  <c r="J294" i="22"/>
  <c r="J293" i="22"/>
  <c r="J292" i="22"/>
  <c r="J291" i="22"/>
  <c r="J290" i="22"/>
  <c r="J289" i="22"/>
  <c r="J288" i="22"/>
  <c r="J287" i="22"/>
  <c r="J286" i="22"/>
  <c r="J285" i="22"/>
  <c r="J284" i="22"/>
  <c r="J283" i="22"/>
  <c r="J282" i="22"/>
  <c r="J281" i="22"/>
  <c r="J280" i="22"/>
  <c r="J279" i="22"/>
  <c r="J278" i="22"/>
  <c r="J277" i="22"/>
  <c r="J276" i="22"/>
  <c r="J275" i="22"/>
  <c r="J274" i="22"/>
  <c r="J273" i="22"/>
  <c r="J272" i="22"/>
  <c r="J271" i="22"/>
  <c r="J270" i="22"/>
  <c r="J269" i="22"/>
  <c r="J268" i="22"/>
  <c r="J267" i="22"/>
  <c r="J266" i="22"/>
  <c r="J265" i="22"/>
  <c r="J264" i="22"/>
  <c r="J263" i="22"/>
  <c r="J262" i="22"/>
  <c r="J261" i="22"/>
  <c r="J260" i="22"/>
  <c r="J259" i="22"/>
  <c r="J258" i="22"/>
  <c r="J257" i="22"/>
  <c r="J256" i="22"/>
  <c r="J255" i="22"/>
  <c r="J254" i="22"/>
  <c r="J253" i="22"/>
  <c r="J252" i="22"/>
  <c r="J251" i="22"/>
  <c r="J250" i="22"/>
  <c r="J249" i="22"/>
  <c r="J248" i="22"/>
  <c r="J247" i="22"/>
  <c r="J246" i="22"/>
  <c r="J245" i="22"/>
  <c r="J244" i="22"/>
  <c r="J243" i="22"/>
  <c r="J242" i="22"/>
  <c r="J241" i="22"/>
  <c r="J240" i="22"/>
  <c r="J239" i="22"/>
  <c r="J238" i="22"/>
  <c r="J237" i="22"/>
  <c r="J236" i="22"/>
  <c r="J235" i="22"/>
  <c r="J234" i="22"/>
  <c r="J233" i="22"/>
  <c r="J232" i="22"/>
  <c r="J231" i="22"/>
  <c r="J230" i="22"/>
  <c r="J229" i="22"/>
  <c r="J228" i="22"/>
  <c r="J227" i="22"/>
  <c r="J226" i="22"/>
  <c r="J225" i="22"/>
  <c r="J224" i="22"/>
  <c r="J223" i="22"/>
  <c r="J222" i="22"/>
  <c r="J221" i="22"/>
  <c r="J220" i="22"/>
  <c r="J219" i="22"/>
  <c r="J218" i="22"/>
  <c r="J217" i="22"/>
  <c r="J216" i="22"/>
  <c r="J215" i="22"/>
  <c r="J214" i="22"/>
  <c r="J213" i="22"/>
  <c r="J212" i="22"/>
  <c r="J211" i="22"/>
  <c r="J210" i="22"/>
  <c r="J209" i="22"/>
  <c r="J208" i="22"/>
  <c r="J207" i="22"/>
  <c r="J206" i="22"/>
  <c r="J205" i="22"/>
  <c r="J204" i="22"/>
  <c r="J203" i="22"/>
  <c r="J202" i="22"/>
  <c r="J201" i="22"/>
  <c r="J200" i="22"/>
  <c r="J199" i="22"/>
  <c r="J198" i="22"/>
  <c r="J197" i="22"/>
  <c r="J196" i="22"/>
  <c r="J195" i="22"/>
  <c r="J194" i="22"/>
  <c r="J193" i="22"/>
  <c r="J192" i="22"/>
  <c r="J191" i="22"/>
  <c r="J190" i="22"/>
  <c r="J189" i="22"/>
  <c r="J188" i="22"/>
  <c r="J187" i="22"/>
  <c r="J186" i="22"/>
  <c r="J185" i="22"/>
  <c r="J184" i="22"/>
  <c r="J183" i="22"/>
  <c r="J182" i="22"/>
  <c r="J181" i="22"/>
  <c r="J180" i="22"/>
  <c r="J179" i="22"/>
  <c r="J178" i="22"/>
  <c r="J177" i="22"/>
  <c r="J176" i="22"/>
  <c r="J175" i="22"/>
  <c r="J174" i="22"/>
  <c r="J173" i="22"/>
  <c r="J172" i="22"/>
  <c r="J171" i="22"/>
  <c r="J170" i="22"/>
  <c r="J169" i="22"/>
  <c r="J168" i="22"/>
  <c r="J167" i="22"/>
  <c r="J166" i="22"/>
  <c r="J165" i="22"/>
  <c r="J164" i="22"/>
  <c r="J163" i="22"/>
  <c r="J162" i="22"/>
  <c r="J161" i="22"/>
  <c r="J160" i="22"/>
  <c r="J159" i="22"/>
  <c r="J158" i="22"/>
  <c r="J157" i="22"/>
  <c r="J156" i="22"/>
  <c r="J155" i="22"/>
  <c r="J154" i="22"/>
  <c r="J153" i="22"/>
  <c r="J152" i="22"/>
  <c r="J151" i="22"/>
  <c r="J150" i="22"/>
  <c r="J149" i="22"/>
  <c r="J148" i="22"/>
  <c r="J147" i="22"/>
  <c r="J146" i="22"/>
  <c r="J145" i="22"/>
  <c r="J144" i="22"/>
  <c r="J143" i="22"/>
  <c r="J142" i="22"/>
  <c r="J141" i="22"/>
  <c r="J140" i="22"/>
  <c r="J139" i="22"/>
  <c r="J138" i="22"/>
  <c r="J137" i="22"/>
  <c r="J136" i="22"/>
  <c r="J135" i="22"/>
  <c r="J134" i="22"/>
  <c r="J133" i="22"/>
  <c r="J132" i="22"/>
  <c r="J131" i="22"/>
  <c r="J130" i="22"/>
  <c r="J129" i="22"/>
  <c r="J128" i="22"/>
  <c r="J127" i="22"/>
  <c r="J126" i="22"/>
  <c r="J125" i="22"/>
  <c r="J124" i="22"/>
  <c r="J123" i="22"/>
  <c r="J122" i="22"/>
  <c r="J121" i="22"/>
  <c r="J120" i="22"/>
  <c r="J119" i="22"/>
  <c r="J118" i="22"/>
  <c r="J117" i="22"/>
  <c r="J116" i="22"/>
  <c r="J115" i="22"/>
  <c r="J114" i="22"/>
  <c r="J113" i="22"/>
  <c r="J112" i="22"/>
  <c r="J111" i="22"/>
  <c r="J110" i="22"/>
  <c r="J109" i="22"/>
  <c r="J108" i="22"/>
  <c r="J107" i="22"/>
  <c r="J106" i="22"/>
  <c r="J105" i="22"/>
  <c r="J104" i="22"/>
  <c r="J103" i="22"/>
  <c r="J102" i="22"/>
  <c r="J101" i="22"/>
  <c r="J100" i="22"/>
  <c r="J99" i="22"/>
  <c r="J98" i="22"/>
  <c r="J97" i="22"/>
  <c r="J96" i="22"/>
  <c r="J95" i="22"/>
  <c r="J94" i="22"/>
  <c r="J93" i="22"/>
  <c r="J92" i="22"/>
  <c r="J91" i="22"/>
  <c r="J90" i="22"/>
  <c r="J89" i="22"/>
  <c r="J88" i="22"/>
  <c r="J87" i="22"/>
  <c r="J86" i="22"/>
  <c r="J85" i="22"/>
  <c r="J84" i="22"/>
  <c r="J83" i="22"/>
  <c r="J82" i="22"/>
  <c r="J81" i="22"/>
  <c r="J80" i="22"/>
  <c r="J79" i="22"/>
  <c r="J78" i="22"/>
  <c r="J77" i="22"/>
  <c r="J76" i="22"/>
  <c r="J75" i="22"/>
  <c r="J74" i="22"/>
  <c r="J73" i="22"/>
  <c r="J72" i="22"/>
  <c r="J71" i="22"/>
  <c r="J70" i="22"/>
  <c r="J69" i="22"/>
  <c r="J68" i="22"/>
  <c r="J67" i="22"/>
  <c r="J66" i="22"/>
  <c r="J65" i="22"/>
  <c r="J64" i="22"/>
  <c r="J63" i="22"/>
  <c r="J62" i="22"/>
  <c r="J61" i="22"/>
  <c r="J60" i="22"/>
  <c r="J59" i="22"/>
  <c r="J58" i="22"/>
  <c r="J57" i="22"/>
  <c r="J56" i="22"/>
  <c r="J55" i="22"/>
  <c r="J54" i="22"/>
  <c r="J53" i="22"/>
  <c r="J52" i="22"/>
  <c r="J51" i="22"/>
  <c r="J50" i="22"/>
  <c r="J49" i="22"/>
  <c r="J48" i="22"/>
  <c r="J47" i="22"/>
  <c r="J46" i="22"/>
  <c r="J45" i="22"/>
  <c r="J44" i="22"/>
  <c r="J43" i="22"/>
  <c r="J42" i="22"/>
  <c r="J41" i="22"/>
  <c r="J40" i="22"/>
  <c r="J39" i="22"/>
  <c r="J38" i="22"/>
  <c r="J37" i="22"/>
  <c r="J36" i="22"/>
  <c r="J35" i="22"/>
  <c r="J34" i="22"/>
  <c r="J33" i="22"/>
  <c r="J32" i="22"/>
  <c r="J31" i="22"/>
  <c r="J30" i="22"/>
  <c r="J29" i="22"/>
  <c r="J28" i="22"/>
  <c r="J27" i="22"/>
  <c r="J26" i="22"/>
  <c r="J25" i="22"/>
  <c r="C389" i="21" l="1"/>
  <c r="C359" i="21"/>
  <c r="C31" i="21"/>
  <c r="C382" i="21"/>
  <c r="K70" i="22"/>
  <c r="C369" i="21"/>
  <c r="C356" i="21"/>
  <c r="C320" i="21"/>
  <c r="C73" i="21"/>
  <c r="C330" i="21"/>
  <c r="C337" i="21"/>
  <c r="C306" i="21"/>
  <c r="C206" i="21"/>
  <c r="C352" i="21"/>
  <c r="C282" i="21"/>
  <c r="C175" i="21"/>
  <c r="C366" i="21"/>
  <c r="C313" i="21"/>
  <c r="C289" i="21"/>
  <c r="C264" i="21"/>
  <c r="C246" i="21"/>
  <c r="C205" i="21"/>
  <c r="C239" i="21"/>
  <c r="C133" i="21"/>
  <c r="C296" i="21"/>
  <c r="C167" i="21"/>
  <c r="C61" i="21"/>
  <c r="C182" i="21"/>
  <c r="C388" i="21"/>
  <c r="C373" i="21"/>
  <c r="C358" i="21"/>
  <c r="C343" i="21"/>
  <c r="C336" i="21"/>
  <c r="C329" i="21"/>
  <c r="C305" i="21"/>
  <c r="C380" i="21"/>
  <c r="C281" i="21"/>
  <c r="C235" i="21"/>
  <c r="C350" i="21"/>
  <c r="C163" i="21"/>
  <c r="C314" i="21"/>
  <c r="C197" i="21"/>
  <c r="C91" i="21"/>
  <c r="C248" i="21"/>
  <c r="C128" i="21"/>
  <c r="C365" i="21"/>
  <c r="C312" i="21"/>
  <c r="C288" i="21"/>
  <c r="C253" i="21"/>
  <c r="C362" i="21"/>
  <c r="C193" i="21"/>
  <c r="C233" i="21"/>
  <c r="C121" i="21"/>
  <c r="C284" i="21"/>
  <c r="C242" i="21"/>
  <c r="C49" i="21"/>
  <c r="K117" i="22"/>
  <c r="C372" i="21"/>
  <c r="C349" i="21"/>
  <c r="C342" i="21"/>
  <c r="C335" i="21"/>
  <c r="C319" i="21"/>
  <c r="C295" i="21"/>
  <c r="C374" i="21"/>
  <c r="C368" i="21"/>
  <c r="C223" i="21"/>
  <c r="C344" i="21"/>
  <c r="C151" i="21"/>
  <c r="C308" i="21"/>
  <c r="C79" i="21"/>
  <c r="C137" i="21"/>
  <c r="K25" i="22"/>
  <c r="A25" i="22" s="1"/>
  <c r="C379" i="21"/>
  <c r="C311" i="21"/>
  <c r="C287" i="21"/>
  <c r="C270" i="21"/>
  <c r="C252" i="21"/>
  <c r="C357" i="21"/>
  <c r="C181" i="21"/>
  <c r="C274" i="21"/>
  <c r="C109" i="21"/>
  <c r="C273" i="21"/>
  <c r="C218" i="21"/>
  <c r="C37" i="21"/>
  <c r="C122" i="21"/>
  <c r="K87" i="22"/>
  <c r="C371" i="21"/>
  <c r="C355" i="21"/>
  <c r="C348" i="21"/>
  <c r="C341" i="21"/>
  <c r="C334" i="21"/>
  <c r="C318" i="21"/>
  <c r="C294" i="21"/>
  <c r="C211" i="21"/>
  <c r="C338" i="21"/>
  <c r="C139" i="21"/>
  <c r="C250" i="21"/>
  <c r="C67" i="21"/>
  <c r="C26" i="21"/>
  <c r="C378" i="21"/>
  <c r="C325" i="21"/>
  <c r="C301" i="21"/>
  <c r="C277" i="21"/>
  <c r="C259" i="21"/>
  <c r="C241" i="21"/>
  <c r="C351" i="21"/>
  <c r="C169" i="21"/>
  <c r="C192" i="21"/>
  <c r="C97" i="21"/>
  <c r="C260" i="21"/>
  <c r="C188" i="21"/>
  <c r="C271" i="21"/>
  <c r="K27" i="22"/>
  <c r="A27" i="22" s="1"/>
  <c r="C266" i="21"/>
  <c r="C354" i="21"/>
  <c r="C340" i="21"/>
  <c r="C317" i="21"/>
  <c r="C293" i="21"/>
  <c r="C363" i="21"/>
  <c r="C199" i="21"/>
  <c r="C332" i="21"/>
  <c r="C127" i="21"/>
  <c r="C290" i="21"/>
  <c r="C254" i="21"/>
  <c r="C55" i="21"/>
  <c r="C377" i="21"/>
  <c r="C361" i="21"/>
  <c r="C370" i="21"/>
  <c r="C324" i="21"/>
  <c r="C300" i="21"/>
  <c r="C276" i="21"/>
  <c r="C258" i="21"/>
  <c r="C229" i="21"/>
  <c r="C157" i="21"/>
  <c r="C309" i="21"/>
  <c r="C85" i="21"/>
  <c r="C243" i="21"/>
  <c r="K28" i="22"/>
  <c r="A28" i="22" s="1"/>
  <c r="C103" i="21"/>
  <c r="C384" i="21"/>
  <c r="C347" i="21"/>
  <c r="C390" i="21"/>
  <c r="C383" i="21"/>
  <c r="C376" i="21"/>
  <c r="C360" i="21"/>
  <c r="C353" i="21"/>
  <c r="C346" i="21"/>
  <c r="C331" i="21"/>
  <c r="C307" i="21"/>
  <c r="C283" i="21"/>
  <c r="C187" i="21"/>
  <c r="C326" i="21"/>
  <c r="C115" i="21"/>
  <c r="C278" i="21"/>
  <c r="C230" i="21"/>
  <c r="C43" i="21"/>
  <c r="C385" i="21"/>
  <c r="C367" i="21"/>
  <c r="C387" i="21"/>
  <c r="C323" i="21"/>
  <c r="C386" i="21"/>
  <c r="C299" i="21"/>
  <c r="C322" i="21"/>
  <c r="C265" i="21"/>
  <c r="C247" i="21"/>
  <c r="C217" i="21"/>
  <c r="C145" i="21"/>
  <c r="C302" i="21"/>
  <c r="C125" i="21"/>
  <c r="K52" i="22"/>
  <c r="K46" i="22"/>
  <c r="K31" i="22"/>
  <c r="A31" i="22" s="1"/>
  <c r="K39" i="22"/>
  <c r="K55" i="22"/>
  <c r="K63" i="22"/>
  <c r="K88" i="22"/>
  <c r="K390" i="22"/>
  <c r="K384" i="22"/>
  <c r="K378" i="22"/>
  <c r="K372" i="22"/>
  <c r="K366" i="22"/>
  <c r="K360" i="22"/>
  <c r="K354" i="22"/>
  <c r="K348" i="22"/>
  <c r="K342" i="22"/>
  <c r="K336" i="22"/>
  <c r="K330" i="22"/>
  <c r="K324" i="22"/>
  <c r="K318" i="22"/>
  <c r="K312" i="22"/>
  <c r="K306" i="22"/>
  <c r="K300" i="22"/>
  <c r="K294" i="22"/>
  <c r="K288" i="22"/>
  <c r="K282" i="22"/>
  <c r="K276" i="22"/>
  <c r="K270" i="22"/>
  <c r="K264" i="22"/>
  <c r="K258" i="22"/>
  <c r="K252" i="22"/>
  <c r="K246" i="22"/>
  <c r="K240" i="22"/>
  <c r="K234" i="22"/>
  <c r="K228" i="22"/>
  <c r="K222" i="22"/>
  <c r="K216" i="22"/>
  <c r="K210" i="22"/>
  <c r="K204" i="22"/>
  <c r="K198" i="22"/>
  <c r="K192" i="22"/>
  <c r="K186" i="22"/>
  <c r="K180" i="22"/>
  <c r="K174" i="22"/>
  <c r="K168" i="22"/>
  <c r="K162" i="22"/>
  <c r="K156" i="22"/>
  <c r="K150" i="22"/>
  <c r="K144" i="22"/>
  <c r="K138" i="22"/>
  <c r="K132" i="22"/>
  <c r="K126" i="22"/>
  <c r="K120" i="22"/>
  <c r="K114" i="22"/>
  <c r="K108" i="22"/>
  <c r="K102" i="22"/>
  <c r="K96" i="22"/>
  <c r="K90" i="22"/>
  <c r="K84" i="22"/>
  <c r="K78" i="22"/>
  <c r="K72" i="22"/>
  <c r="K66" i="22"/>
  <c r="K60" i="22"/>
  <c r="K54" i="22"/>
  <c r="K48" i="22"/>
  <c r="K42" i="22"/>
  <c r="K36" i="22"/>
  <c r="A36" i="22" s="1"/>
  <c r="K30" i="22"/>
  <c r="A30" i="22" s="1"/>
  <c r="K389" i="22"/>
  <c r="K383" i="22"/>
  <c r="K377" i="22"/>
  <c r="K371" i="22"/>
  <c r="K365" i="22"/>
  <c r="K359" i="22"/>
  <c r="K353" i="22"/>
  <c r="K347" i="22"/>
  <c r="K341" i="22"/>
  <c r="K335" i="22"/>
  <c r="K329" i="22"/>
  <c r="K323" i="22"/>
  <c r="K317" i="22"/>
  <c r="K311" i="22"/>
  <c r="K305" i="22"/>
  <c r="K299" i="22"/>
  <c r="K293" i="22"/>
  <c r="K287" i="22"/>
  <c r="K281" i="22"/>
  <c r="K275" i="22"/>
  <c r="K269" i="22"/>
  <c r="K263" i="22"/>
  <c r="K257" i="22"/>
  <c r="K251" i="22"/>
  <c r="K245" i="22"/>
  <c r="K239" i="22"/>
  <c r="K233" i="22"/>
  <c r="K227" i="22"/>
  <c r="K221" i="22"/>
  <c r="K215" i="22"/>
  <c r="K209" i="22"/>
  <c r="K203" i="22"/>
  <c r="K197" i="22"/>
  <c r="K191" i="22"/>
  <c r="K185" i="22"/>
  <c r="K179" i="22"/>
  <c r="K173" i="22"/>
  <c r="K167" i="22"/>
  <c r="K161" i="22"/>
  <c r="K155" i="22"/>
  <c r="K149" i="22"/>
  <c r="K143" i="22"/>
  <c r="K137" i="22"/>
  <c r="K131" i="22"/>
  <c r="K125" i="22"/>
  <c r="K119" i="22"/>
  <c r="K113" i="22"/>
  <c r="K107" i="22"/>
  <c r="K101" i="22"/>
  <c r="K95" i="22"/>
  <c r="K89" i="22"/>
  <c r="K83" i="22"/>
  <c r="K77" i="22"/>
  <c r="K71" i="22"/>
  <c r="K65" i="22"/>
  <c r="K59" i="22"/>
  <c r="K53" i="22"/>
  <c r="K47" i="22"/>
  <c r="K41" i="22"/>
  <c r="K35" i="22"/>
  <c r="A35" i="22" s="1"/>
  <c r="K29" i="22"/>
  <c r="A29" i="22" s="1"/>
  <c r="K388" i="22"/>
  <c r="K382" i="22"/>
  <c r="K376" i="22"/>
  <c r="K370" i="22"/>
  <c r="K364" i="22"/>
  <c r="K358" i="22"/>
  <c r="K352" i="22"/>
  <c r="K346" i="22"/>
  <c r="K340" i="22"/>
  <c r="K334" i="22"/>
  <c r="K328" i="22"/>
  <c r="K322" i="22"/>
  <c r="K316" i="22"/>
  <c r="K310" i="22"/>
  <c r="K304" i="22"/>
  <c r="K298" i="22"/>
  <c r="K292" i="22"/>
  <c r="K286" i="22"/>
  <c r="K280" i="22"/>
  <c r="K274" i="22"/>
  <c r="K268" i="22"/>
  <c r="K262" i="22"/>
  <c r="K256" i="22"/>
  <c r="K250" i="22"/>
  <c r="K244" i="22"/>
  <c r="K238" i="22"/>
  <c r="K232" i="22"/>
  <c r="K226" i="22"/>
  <c r="K220" i="22"/>
  <c r="K214" i="22"/>
  <c r="K208" i="22"/>
  <c r="K202" i="22"/>
  <c r="K196" i="22"/>
  <c r="K190" i="22"/>
  <c r="K184" i="22"/>
  <c r="K178" i="22"/>
  <c r="K172" i="22"/>
  <c r="K166" i="22"/>
  <c r="K160" i="22"/>
  <c r="K154" i="22"/>
  <c r="K148" i="22"/>
  <c r="K142" i="22"/>
  <c r="K136" i="22"/>
  <c r="K130" i="22"/>
  <c r="K124" i="22"/>
  <c r="K118" i="22"/>
  <c r="K112" i="22"/>
  <c r="K106" i="22"/>
  <c r="K387" i="22"/>
  <c r="K381" i="22"/>
  <c r="K375" i="22"/>
  <c r="K369" i="22"/>
  <c r="K363" i="22"/>
  <c r="K357" i="22"/>
  <c r="K351" i="22"/>
  <c r="K345" i="22"/>
  <c r="K339" i="22"/>
  <c r="K333" i="22"/>
  <c r="K327" i="22"/>
  <c r="K321" i="22"/>
  <c r="K315" i="22"/>
  <c r="K309" i="22"/>
  <c r="K303" i="22"/>
  <c r="K297" i="22"/>
  <c r="K291" i="22"/>
  <c r="K285" i="22"/>
  <c r="K279" i="22"/>
  <c r="K273" i="22"/>
  <c r="K267" i="22"/>
  <c r="K261" i="22"/>
  <c r="K255" i="22"/>
  <c r="K249" i="22"/>
  <c r="K243" i="22"/>
  <c r="K237" i="22"/>
  <c r="K231" i="22"/>
  <c r="K225" i="22"/>
  <c r="K219" i="22"/>
  <c r="K213" i="22"/>
  <c r="K207" i="22"/>
  <c r="K201" i="22"/>
  <c r="K195" i="22"/>
  <c r="K189" i="22"/>
  <c r="K183" i="22"/>
  <c r="K177" i="22"/>
  <c r="K171" i="22"/>
  <c r="K165" i="22"/>
  <c r="K159" i="22"/>
  <c r="K153" i="22"/>
  <c r="K147" i="22"/>
  <c r="K141" i="22"/>
  <c r="K135" i="22"/>
  <c r="K129" i="22"/>
  <c r="K386" i="22"/>
  <c r="K380" i="22"/>
  <c r="K374" i="22"/>
  <c r="K368" i="22"/>
  <c r="K362" i="22"/>
  <c r="K356" i="22"/>
  <c r="K350" i="22"/>
  <c r="K344" i="22"/>
  <c r="K338" i="22"/>
  <c r="K332" i="22"/>
  <c r="K326" i="22"/>
  <c r="K320" i="22"/>
  <c r="K314" i="22"/>
  <c r="K308" i="22"/>
  <c r="K302" i="22"/>
  <c r="K296" i="22"/>
  <c r="K290" i="22"/>
  <c r="K284" i="22"/>
  <c r="K278" i="22"/>
  <c r="K272" i="22"/>
  <c r="K266" i="22"/>
  <c r="K260" i="22"/>
  <c r="K254" i="22"/>
  <c r="K248" i="22"/>
  <c r="K242" i="22"/>
  <c r="K236" i="22"/>
  <c r="K230" i="22"/>
  <c r="K224" i="22"/>
  <c r="K218" i="22"/>
  <c r="K212" i="22"/>
  <c r="K206" i="22"/>
  <c r="K200" i="22"/>
  <c r="K194" i="22"/>
  <c r="K188" i="22"/>
  <c r="K182" i="22"/>
  <c r="K176" i="22"/>
  <c r="K170" i="22"/>
  <c r="K164" i="22"/>
  <c r="K158" i="22"/>
  <c r="K152" i="22"/>
  <c r="K146" i="22"/>
  <c r="K140" i="22"/>
  <c r="K134" i="22"/>
  <c r="K128" i="22"/>
  <c r="K122" i="22"/>
  <c r="K116" i="22"/>
  <c r="K110" i="22"/>
  <c r="K104" i="22"/>
  <c r="K98" i="22"/>
  <c r="K92" i="22"/>
  <c r="K86" i="22"/>
  <c r="K80" i="22"/>
  <c r="K74" i="22"/>
  <c r="K68" i="22"/>
  <c r="K62" i="22"/>
  <c r="K56" i="22"/>
  <c r="K50" i="22"/>
  <c r="K44" i="22"/>
  <c r="K38" i="22"/>
  <c r="K32" i="22"/>
  <c r="A32" i="22" s="1"/>
  <c r="K26" i="22"/>
  <c r="A26" i="22" s="1"/>
  <c r="K385" i="22"/>
  <c r="K379" i="22"/>
  <c r="K373" i="22"/>
  <c r="K367" i="22"/>
  <c r="K361" i="22"/>
  <c r="K355" i="22"/>
  <c r="K349" i="22"/>
  <c r="K343" i="22"/>
  <c r="K337" i="22"/>
  <c r="K331" i="22"/>
  <c r="K325" i="22"/>
  <c r="K319" i="22"/>
  <c r="K313" i="22"/>
  <c r="K307" i="22"/>
  <c r="K301" i="22"/>
  <c r="K295" i="22"/>
  <c r="K289" i="22"/>
  <c r="K283" i="22"/>
  <c r="K277" i="22"/>
  <c r="K271" i="22"/>
  <c r="K265" i="22"/>
  <c r="K259" i="22"/>
  <c r="K253" i="22"/>
  <c r="K247" i="22"/>
  <c r="K241" i="22"/>
  <c r="K235" i="22"/>
  <c r="K229" i="22"/>
  <c r="K223" i="22"/>
  <c r="K217" i="22"/>
  <c r="K211" i="22"/>
  <c r="K205" i="22"/>
  <c r="K199" i="22"/>
  <c r="K193" i="22"/>
  <c r="K187" i="22"/>
  <c r="K181" i="22"/>
  <c r="K175" i="22"/>
  <c r="K169" i="22"/>
  <c r="K163" i="22"/>
  <c r="K157" i="22"/>
  <c r="K151" i="22"/>
  <c r="K145" i="22"/>
  <c r="K139" i="22"/>
  <c r="K133" i="22"/>
  <c r="K127" i="22"/>
  <c r="K121" i="22"/>
  <c r="K115" i="22"/>
  <c r="K109" i="22"/>
  <c r="K103" i="22"/>
  <c r="K97" i="22"/>
  <c r="K91" i="22"/>
  <c r="K85" i="22"/>
  <c r="K79" i="22"/>
  <c r="K40" i="22"/>
  <c r="K64" i="22"/>
  <c r="K81" i="22"/>
  <c r="K99" i="22"/>
  <c r="K33" i="22"/>
  <c r="A33" i="22" s="1"/>
  <c r="K49" i="22"/>
  <c r="K57" i="22"/>
  <c r="K73" i="22"/>
  <c r="K82" i="22"/>
  <c r="K100" i="22"/>
  <c r="K34" i="22"/>
  <c r="A34" i="22" s="1"/>
  <c r="K58" i="22"/>
  <c r="K111" i="22"/>
  <c r="K43" i="22"/>
  <c r="K51" i="22"/>
  <c r="K67" i="22"/>
  <c r="K75" i="22"/>
  <c r="K93" i="22"/>
  <c r="K123" i="22"/>
  <c r="K76" i="22"/>
  <c r="K94" i="22"/>
  <c r="K37" i="22"/>
  <c r="K45" i="22"/>
  <c r="K61" i="22"/>
  <c r="K69" i="22"/>
  <c r="K105" i="22"/>
  <c r="C240" i="21"/>
  <c r="C234" i="21"/>
  <c r="C228" i="21"/>
  <c r="C222" i="21"/>
  <c r="C216" i="21"/>
  <c r="C210" i="21"/>
  <c r="C204" i="21"/>
  <c r="C198" i="21"/>
  <c r="C186" i="21"/>
  <c r="C180" i="21"/>
  <c r="C174" i="21"/>
  <c r="C168" i="21"/>
  <c r="C162" i="21"/>
  <c r="C156" i="21"/>
  <c r="C150" i="21"/>
  <c r="C144" i="21"/>
  <c r="C138" i="21"/>
  <c r="C132" i="21"/>
  <c r="C126" i="21"/>
  <c r="C120" i="21"/>
  <c r="C114" i="21"/>
  <c r="C108" i="21"/>
  <c r="C102" i="21"/>
  <c r="C96" i="21"/>
  <c r="C90" i="21"/>
  <c r="C84" i="21"/>
  <c r="C78" i="21"/>
  <c r="C72" i="21"/>
  <c r="C66" i="21"/>
  <c r="C60" i="21"/>
  <c r="C54" i="21"/>
  <c r="C48" i="21"/>
  <c r="C42" i="21"/>
  <c r="C36" i="21"/>
  <c r="C30" i="21"/>
  <c r="C275" i="21"/>
  <c r="C269" i="21"/>
  <c r="C263" i="21"/>
  <c r="C257" i="21"/>
  <c r="C251" i="21"/>
  <c r="C245" i="21"/>
  <c r="C227" i="21"/>
  <c r="C221" i="21"/>
  <c r="C215" i="21"/>
  <c r="C209" i="21"/>
  <c r="C203" i="21"/>
  <c r="C191" i="21"/>
  <c r="C185" i="21"/>
  <c r="C179" i="21"/>
  <c r="C173" i="21"/>
  <c r="C161" i="21"/>
  <c r="C155" i="21"/>
  <c r="C149" i="21"/>
  <c r="C143" i="21"/>
  <c r="C131" i="21"/>
  <c r="C119" i="21"/>
  <c r="C113" i="21"/>
  <c r="C107" i="21"/>
  <c r="C101" i="21"/>
  <c r="C95" i="21"/>
  <c r="C89" i="21"/>
  <c r="C83" i="21"/>
  <c r="C77" i="21"/>
  <c r="C71" i="21"/>
  <c r="C65" i="21"/>
  <c r="C59" i="21"/>
  <c r="C53" i="21"/>
  <c r="C47" i="21"/>
  <c r="C41" i="21"/>
  <c r="C35" i="21"/>
  <c r="C29" i="21"/>
  <c r="C328" i="21"/>
  <c r="C316" i="21"/>
  <c r="C310" i="21"/>
  <c r="C304" i="21"/>
  <c r="C298" i="21"/>
  <c r="C292" i="21"/>
  <c r="C286" i="21"/>
  <c r="C280" i="21"/>
  <c r="C268" i="21"/>
  <c r="C262" i="21"/>
  <c r="C256" i="21"/>
  <c r="C244" i="21"/>
  <c r="C238" i="21"/>
  <c r="C232" i="21"/>
  <c r="C226" i="21"/>
  <c r="C220" i="21"/>
  <c r="C214" i="21"/>
  <c r="C208" i="21"/>
  <c r="C202" i="21"/>
  <c r="C196" i="21"/>
  <c r="C190" i="21"/>
  <c r="C184" i="21"/>
  <c r="C178" i="21"/>
  <c r="C172" i="21"/>
  <c r="C166" i="21"/>
  <c r="C160" i="21"/>
  <c r="C154" i="21"/>
  <c r="C148" i="21"/>
  <c r="C142" i="21"/>
  <c r="C136" i="21"/>
  <c r="C130" i="21"/>
  <c r="C124" i="21"/>
  <c r="C118" i="21"/>
  <c r="C112" i="21"/>
  <c r="C106" i="21"/>
  <c r="C100" i="21"/>
  <c r="C94" i="21"/>
  <c r="C88" i="21"/>
  <c r="C82" i="21"/>
  <c r="C76" i="21"/>
  <c r="C70" i="21"/>
  <c r="C64" i="21"/>
  <c r="C58" i="21"/>
  <c r="C52" i="21"/>
  <c r="C46" i="21"/>
  <c r="C40" i="21"/>
  <c r="C34" i="21"/>
  <c r="C28" i="21"/>
  <c r="C364" i="21"/>
  <c r="C381" i="21"/>
  <c r="C375" i="21"/>
  <c r="C345" i="21"/>
  <c r="C339" i="21"/>
  <c r="C333" i="21"/>
  <c r="C327" i="21"/>
  <c r="C321" i="21"/>
  <c r="C315" i="21"/>
  <c r="C303" i="21"/>
  <c r="C297" i="21"/>
  <c r="C291" i="21"/>
  <c r="C285" i="21"/>
  <c r="C279" i="21"/>
  <c r="C267" i="21"/>
  <c r="C261" i="21"/>
  <c r="C255" i="21"/>
  <c r="C249" i="21"/>
  <c r="C237" i="21"/>
  <c r="C231" i="21"/>
  <c r="C225" i="21"/>
  <c r="C219" i="21"/>
  <c r="C213" i="21"/>
  <c r="C207" i="21"/>
  <c r="C201" i="21"/>
  <c r="C195" i="21"/>
  <c r="C189" i="21"/>
  <c r="C183" i="21"/>
  <c r="C177" i="21"/>
  <c r="C171" i="21"/>
  <c r="C165" i="21"/>
  <c r="C159" i="21"/>
  <c r="C153" i="21"/>
  <c r="C147" i="21"/>
  <c r="C141" i="21"/>
  <c r="C135" i="21"/>
  <c r="C129" i="21"/>
  <c r="C123" i="21"/>
  <c r="C117" i="21"/>
  <c r="C111" i="21"/>
  <c r="C105" i="21"/>
  <c r="C99" i="21"/>
  <c r="C93" i="21"/>
  <c r="C87" i="21"/>
  <c r="C81" i="21"/>
  <c r="C75" i="21"/>
  <c r="C69" i="21"/>
  <c r="C63" i="21"/>
  <c r="C57" i="21"/>
  <c r="C51" i="21"/>
  <c r="C45" i="21"/>
  <c r="C39" i="21"/>
  <c r="C33" i="21"/>
  <c r="C27" i="21"/>
  <c r="C272" i="21"/>
  <c r="C236" i="21"/>
  <c r="C224" i="21"/>
  <c r="C212" i="21"/>
  <c r="C200" i="21"/>
  <c r="C194" i="21"/>
  <c r="C176" i="21"/>
  <c r="C170" i="21"/>
  <c r="C164" i="21"/>
  <c r="C158" i="21"/>
  <c r="C152" i="21"/>
  <c r="C146" i="21"/>
  <c r="C140" i="21"/>
  <c r="C134" i="21"/>
  <c r="C116" i="21"/>
  <c r="C110" i="21"/>
  <c r="C104" i="21"/>
  <c r="C98" i="21"/>
  <c r="C92" i="21"/>
  <c r="C86" i="21"/>
  <c r="C80" i="21"/>
  <c r="C74" i="21"/>
  <c r="C68" i="21"/>
  <c r="C62" i="21"/>
  <c r="C56" i="21"/>
  <c r="C50" i="21"/>
  <c r="C44" i="21"/>
  <c r="C38" i="21"/>
  <c r="C32" i="21"/>
  <c r="B199" i="22" l="1"/>
  <c r="B28" i="22"/>
  <c r="B46" i="22"/>
  <c r="B25" i="22"/>
  <c r="B70" i="22"/>
  <c r="B331" i="22"/>
  <c r="B33" i="22"/>
  <c r="B285" i="22"/>
  <c r="B348" i="22"/>
  <c r="B270" i="22"/>
  <c r="B126" i="22"/>
  <c r="B67" i="22"/>
  <c r="B99" i="22"/>
  <c r="B127" i="22"/>
  <c r="B271" i="22"/>
  <c r="B343" i="22"/>
  <c r="B50" i="22"/>
  <c r="B122" i="22"/>
  <c r="B194" i="22"/>
  <c r="B266" i="22"/>
  <c r="B338" i="22"/>
  <c r="B147" i="22"/>
  <c r="B219" i="22"/>
  <c r="B291" i="22"/>
  <c r="B363" i="22"/>
  <c r="B148" i="22"/>
  <c r="B220" i="22"/>
  <c r="B292" i="22"/>
  <c r="B364" i="22"/>
  <c r="B71" i="22"/>
  <c r="B143" i="22"/>
  <c r="B215" i="22"/>
  <c r="B287" i="22"/>
  <c r="B359" i="22"/>
  <c r="B66" i="22"/>
  <c r="B354" i="22"/>
  <c r="B138" i="22"/>
  <c r="B44" i="22"/>
  <c r="B214" i="22"/>
  <c r="B60" i="22"/>
  <c r="B258" i="22"/>
  <c r="B105" i="22"/>
  <c r="B51" i="22"/>
  <c r="B81" i="22"/>
  <c r="B133" i="22"/>
  <c r="B205" i="22"/>
  <c r="B277" i="22"/>
  <c r="B349" i="22"/>
  <c r="B56" i="22"/>
  <c r="B128" i="22"/>
  <c r="B200" i="22"/>
  <c r="B272" i="22"/>
  <c r="B344" i="22"/>
  <c r="B153" i="22"/>
  <c r="B225" i="22"/>
  <c r="B297" i="22"/>
  <c r="B369" i="22"/>
  <c r="B154" i="22"/>
  <c r="B226" i="22"/>
  <c r="B298" i="22"/>
  <c r="B370" i="22"/>
  <c r="B77" i="22"/>
  <c r="B149" i="22"/>
  <c r="B221" i="22"/>
  <c r="B293" i="22"/>
  <c r="B365" i="22"/>
  <c r="B72" i="22"/>
  <c r="B144" i="22"/>
  <c r="B216" i="22"/>
  <c r="B288" i="22"/>
  <c r="B360" i="22"/>
  <c r="B87" i="22"/>
  <c r="B260" i="22"/>
  <c r="B353" i="22"/>
  <c r="B246" i="22"/>
  <c r="B69" i="22"/>
  <c r="B43" i="22"/>
  <c r="B64" i="22"/>
  <c r="B139" i="22"/>
  <c r="B211" i="22"/>
  <c r="B283" i="22"/>
  <c r="B355" i="22"/>
  <c r="B62" i="22"/>
  <c r="B134" i="22"/>
  <c r="B206" i="22"/>
  <c r="B278" i="22"/>
  <c r="B350" i="22"/>
  <c r="B159" i="22"/>
  <c r="B231" i="22"/>
  <c r="B303" i="22"/>
  <c r="B375" i="22"/>
  <c r="B160" i="22"/>
  <c r="B232" i="22"/>
  <c r="B304" i="22"/>
  <c r="B376" i="22"/>
  <c r="B83" i="22"/>
  <c r="B155" i="22"/>
  <c r="B227" i="22"/>
  <c r="B299" i="22"/>
  <c r="B371" i="22"/>
  <c r="B78" i="22"/>
  <c r="B366" i="22"/>
  <c r="B75" i="22"/>
  <c r="B213" i="22"/>
  <c r="B65" i="22"/>
  <c r="B234" i="22"/>
  <c r="B61" i="22"/>
  <c r="B111" i="22"/>
  <c r="B40" i="22"/>
  <c r="B145" i="22"/>
  <c r="B217" i="22"/>
  <c r="B289" i="22"/>
  <c r="B361" i="22"/>
  <c r="B68" i="22"/>
  <c r="B140" i="22"/>
  <c r="B212" i="22"/>
  <c r="B284" i="22"/>
  <c r="B356" i="22"/>
  <c r="B165" i="22"/>
  <c r="B237" i="22"/>
  <c r="B309" i="22"/>
  <c r="B381" i="22"/>
  <c r="B166" i="22"/>
  <c r="B238" i="22"/>
  <c r="B310" i="22"/>
  <c r="B382" i="22"/>
  <c r="B89" i="22"/>
  <c r="B161" i="22"/>
  <c r="B233" i="22"/>
  <c r="B305" i="22"/>
  <c r="B377" i="22"/>
  <c r="B84" i="22"/>
  <c r="B156" i="22"/>
  <c r="B228" i="22"/>
  <c r="B300" i="22"/>
  <c r="B372" i="22"/>
  <c r="B117" i="22"/>
  <c r="B193" i="22"/>
  <c r="B141" i="22"/>
  <c r="B209" i="22"/>
  <c r="B222" i="22"/>
  <c r="B45" i="22"/>
  <c r="B58" i="22"/>
  <c r="B79" i="22"/>
  <c r="B151" i="22"/>
  <c r="B223" i="22"/>
  <c r="B295" i="22"/>
  <c r="B367" i="22"/>
  <c r="B74" i="22"/>
  <c r="B146" i="22"/>
  <c r="B218" i="22"/>
  <c r="B290" i="22"/>
  <c r="B362" i="22"/>
  <c r="B171" i="22"/>
  <c r="B243" i="22"/>
  <c r="B315" i="22"/>
  <c r="B387" i="22"/>
  <c r="B172" i="22"/>
  <c r="B244" i="22"/>
  <c r="B316" i="22"/>
  <c r="B388" i="22"/>
  <c r="B95" i="22"/>
  <c r="B167" i="22"/>
  <c r="B239" i="22"/>
  <c r="B311" i="22"/>
  <c r="B383" i="22"/>
  <c r="B90" i="22"/>
  <c r="B378" i="22"/>
  <c r="B188" i="22"/>
  <c r="B281" i="22"/>
  <c r="B210" i="22"/>
  <c r="B37" i="22"/>
  <c r="B34" i="22"/>
  <c r="B85" i="22"/>
  <c r="B157" i="22"/>
  <c r="B229" i="22"/>
  <c r="B301" i="22"/>
  <c r="B373" i="22"/>
  <c r="B80" i="22"/>
  <c r="B152" i="22"/>
  <c r="B224" i="22"/>
  <c r="B296" i="22"/>
  <c r="B368" i="22"/>
  <c r="B177" i="22"/>
  <c r="B249" i="22"/>
  <c r="B321" i="22"/>
  <c r="B106" i="22"/>
  <c r="B178" i="22"/>
  <c r="B250" i="22"/>
  <c r="B322" i="22"/>
  <c r="B29" i="22"/>
  <c r="B101" i="22"/>
  <c r="B173" i="22"/>
  <c r="B245" i="22"/>
  <c r="B317" i="22"/>
  <c r="B389" i="22"/>
  <c r="B96" i="22"/>
  <c r="B168" i="22"/>
  <c r="B240" i="22"/>
  <c r="B312" i="22"/>
  <c r="B384" i="22"/>
  <c r="B52" i="22"/>
  <c r="B265" i="22"/>
  <c r="B142" i="22"/>
  <c r="B276" i="22"/>
  <c r="B198" i="22"/>
  <c r="B114" i="22"/>
  <c r="B100" i="22"/>
  <c r="B91" i="22"/>
  <c r="B163" i="22"/>
  <c r="B235" i="22"/>
  <c r="B307" i="22"/>
  <c r="B379" i="22"/>
  <c r="B86" i="22"/>
  <c r="B158" i="22"/>
  <c r="B230" i="22"/>
  <c r="B302" i="22"/>
  <c r="B374" i="22"/>
  <c r="B183" i="22"/>
  <c r="B255" i="22"/>
  <c r="B327" i="22"/>
  <c r="B112" i="22"/>
  <c r="B184" i="22"/>
  <c r="B256" i="22"/>
  <c r="B328" i="22"/>
  <c r="B35" i="22"/>
  <c r="B107" i="22"/>
  <c r="B179" i="22"/>
  <c r="B251" i="22"/>
  <c r="B323" i="22"/>
  <c r="B30" i="22"/>
  <c r="B102" i="22"/>
  <c r="B390" i="22"/>
  <c r="B332" i="22"/>
  <c r="B137" i="22"/>
  <c r="B330" i="22"/>
  <c r="B186" i="22"/>
  <c r="B94" i="22"/>
  <c r="B82" i="22"/>
  <c r="B97" i="22"/>
  <c r="B169" i="22"/>
  <c r="B241" i="22"/>
  <c r="B313" i="22"/>
  <c r="B385" i="22"/>
  <c r="B92" i="22"/>
  <c r="B164" i="22"/>
  <c r="B236" i="22"/>
  <c r="B308" i="22"/>
  <c r="B380" i="22"/>
  <c r="B189" i="22"/>
  <c r="B261" i="22"/>
  <c r="B333" i="22"/>
  <c r="B118" i="22"/>
  <c r="B190" i="22"/>
  <c r="B262" i="22"/>
  <c r="B334" i="22"/>
  <c r="B41" i="22"/>
  <c r="B113" i="22"/>
  <c r="B185" i="22"/>
  <c r="B257" i="22"/>
  <c r="B329" i="22"/>
  <c r="B36" i="22"/>
  <c r="B108" i="22"/>
  <c r="B180" i="22"/>
  <c r="B252" i="22"/>
  <c r="B324" i="22"/>
  <c r="B88" i="22"/>
  <c r="B121" i="22"/>
  <c r="B357" i="22"/>
  <c r="B132" i="22"/>
  <c r="B318" i="22"/>
  <c r="B174" i="22"/>
  <c r="B76" i="22"/>
  <c r="B73" i="22"/>
  <c r="B103" i="22"/>
  <c r="B175" i="22"/>
  <c r="B247" i="22"/>
  <c r="B319" i="22"/>
  <c r="B26" i="22"/>
  <c r="B98" i="22"/>
  <c r="B170" i="22"/>
  <c r="B242" i="22"/>
  <c r="B314" i="22"/>
  <c r="B386" i="22"/>
  <c r="B195" i="22"/>
  <c r="B267" i="22"/>
  <c r="B339" i="22"/>
  <c r="B124" i="22"/>
  <c r="B196" i="22"/>
  <c r="B268" i="22"/>
  <c r="B340" i="22"/>
  <c r="B47" i="22"/>
  <c r="B119" i="22"/>
  <c r="B191" i="22"/>
  <c r="B263" i="22"/>
  <c r="B335" i="22"/>
  <c r="B42" i="22"/>
  <c r="B63" i="22"/>
  <c r="B27" i="22"/>
  <c r="B337" i="22"/>
  <c r="B286" i="22"/>
  <c r="B204" i="22"/>
  <c r="B306" i="22"/>
  <c r="B162" i="22"/>
  <c r="B123" i="22"/>
  <c r="B57" i="22"/>
  <c r="B109" i="22"/>
  <c r="B181" i="22"/>
  <c r="B253" i="22"/>
  <c r="B325" i="22"/>
  <c r="B32" i="22"/>
  <c r="B104" i="22"/>
  <c r="B176" i="22"/>
  <c r="B248" i="22"/>
  <c r="B320" i="22"/>
  <c r="B129" i="22"/>
  <c r="B201" i="22"/>
  <c r="B273" i="22"/>
  <c r="B345" i="22"/>
  <c r="B130" i="22"/>
  <c r="B202" i="22"/>
  <c r="B274" i="22"/>
  <c r="B346" i="22"/>
  <c r="B53" i="22"/>
  <c r="B125" i="22"/>
  <c r="B197" i="22"/>
  <c r="B269" i="22"/>
  <c r="B341" i="22"/>
  <c r="B48" i="22"/>
  <c r="B120" i="22"/>
  <c r="B192" i="22"/>
  <c r="B264" i="22"/>
  <c r="B336" i="22"/>
  <c r="B55" i="22"/>
  <c r="B282" i="22"/>
  <c r="B116" i="22"/>
  <c r="B358" i="22"/>
  <c r="B31" i="22"/>
  <c r="B294" i="22"/>
  <c r="B150" i="22"/>
  <c r="B93" i="22"/>
  <c r="B49" i="22"/>
  <c r="B115" i="22"/>
  <c r="B187" i="22"/>
  <c r="B259" i="22"/>
  <c r="B38" i="22"/>
  <c r="B110" i="22"/>
  <c r="B182" i="22"/>
  <c r="B254" i="22"/>
  <c r="B326" i="22"/>
  <c r="B135" i="22"/>
  <c r="B207" i="22"/>
  <c r="B279" i="22"/>
  <c r="B351" i="22"/>
  <c r="B136" i="22"/>
  <c r="B208" i="22"/>
  <c r="B280" i="22"/>
  <c r="B352" i="22"/>
  <c r="B59" i="22"/>
  <c r="B131" i="22"/>
  <c r="B203" i="22"/>
  <c r="B275" i="22"/>
  <c r="B347" i="22"/>
  <c r="B54" i="22"/>
  <c r="B342" i="22"/>
  <c r="B39" i="22"/>
  <c r="C22" i="22" l="1"/>
  <c r="N45" i="42"/>
  <c r="N43" i="42"/>
  <c r="N41" i="42"/>
  <c r="N47" i="42" s="1"/>
  <c r="D12" i="21"/>
  <c r="C40" i="42" l="1"/>
  <c r="GW14" i="13" l="1"/>
  <c r="GY14" i="13"/>
  <c r="HA14" i="13"/>
  <c r="HC14" i="13"/>
  <c r="HE9" i="13"/>
  <c r="HD15" i="13" s="1"/>
  <c r="HD9" i="13"/>
  <c r="HB15" i="13" s="1"/>
  <c r="HC9" i="13"/>
  <c r="GZ15" i="13" s="1"/>
  <c r="HB9" i="13"/>
  <c r="GX15" i="13" s="1"/>
  <c r="HH19" i="13" l="1"/>
  <c r="K41" i="42" l="1"/>
  <c r="GV8" i="13"/>
  <c r="GV2" i="13"/>
  <c r="GV4" i="13"/>
  <c r="GV6" i="13"/>
  <c r="D34" i="42"/>
  <c r="D36" i="42" s="1"/>
  <c r="D38" i="42" l="1"/>
  <c r="F34" i="42"/>
  <c r="I59" i="24" l="1"/>
  <c r="G40" i="42" s="1"/>
  <c r="I40" i="42" l="1"/>
  <c r="K59" i="24"/>
  <c r="J59" i="24"/>
  <c r="G59" i="24"/>
  <c r="E48" i="24" s="1"/>
  <c r="I48" i="24"/>
  <c r="I47" i="24"/>
  <c r="I46" i="24"/>
  <c r="G48" i="24"/>
  <c r="G47" i="24"/>
  <c r="E47" i="24" l="1"/>
  <c r="E46" i="24"/>
  <c r="H59" i="24"/>
  <c r="J40" i="42" s="1"/>
  <c r="HH11" i="13"/>
  <c r="HI11" i="13" s="1"/>
  <c r="Q12" i="21"/>
  <c r="F40" i="42"/>
  <c r="GP4" i="13"/>
  <c r="GT390" i="13" l="1"/>
  <c r="GT389" i="13"/>
  <c r="GT388" i="13"/>
  <c r="GT387" i="13"/>
  <c r="GT386" i="13"/>
  <c r="GT385" i="13"/>
  <c r="GT384" i="13"/>
  <c r="GT383" i="13"/>
  <c r="GT382" i="13"/>
  <c r="GT381" i="13"/>
  <c r="GT380" i="13"/>
  <c r="GT379" i="13"/>
  <c r="GT378" i="13"/>
  <c r="GT377" i="13"/>
  <c r="GT376" i="13"/>
  <c r="GT375" i="13"/>
  <c r="GT374" i="13"/>
  <c r="GT373" i="13"/>
  <c r="GT372" i="13"/>
  <c r="GT371" i="13"/>
  <c r="GT370" i="13"/>
  <c r="GT369" i="13"/>
  <c r="GT368" i="13"/>
  <c r="GT367" i="13"/>
  <c r="GT366" i="13"/>
  <c r="GT365" i="13"/>
  <c r="GT364" i="13"/>
  <c r="GT363" i="13"/>
  <c r="GT362" i="13"/>
  <c r="GT361" i="13"/>
  <c r="GT360" i="13"/>
  <c r="GT359" i="13"/>
  <c r="GT358" i="13"/>
  <c r="GT357" i="13"/>
  <c r="GT356" i="13"/>
  <c r="GT355" i="13"/>
  <c r="GT354" i="13"/>
  <c r="GT353" i="13"/>
  <c r="GT352" i="13"/>
  <c r="GT351" i="13"/>
  <c r="GT350" i="13"/>
  <c r="GT349" i="13"/>
  <c r="GT348" i="13"/>
  <c r="GT347" i="13"/>
  <c r="GT346" i="13"/>
  <c r="GT345" i="13"/>
  <c r="GT344" i="13"/>
  <c r="GT343" i="13"/>
  <c r="GT342" i="13"/>
  <c r="GT341" i="13"/>
  <c r="GT340" i="13"/>
  <c r="GT339" i="13"/>
  <c r="GT338" i="13"/>
  <c r="GT337" i="13"/>
  <c r="GT336" i="13"/>
  <c r="GT335" i="13"/>
  <c r="GT334" i="13"/>
  <c r="GT333" i="13"/>
  <c r="GT332" i="13"/>
  <c r="GT331" i="13"/>
  <c r="GT330" i="13"/>
  <c r="GT329" i="13"/>
  <c r="GT328" i="13"/>
  <c r="GT327" i="13"/>
  <c r="GT326" i="13"/>
  <c r="GT325" i="13"/>
  <c r="GT324" i="13"/>
  <c r="GT323" i="13"/>
  <c r="GT322" i="13"/>
  <c r="GT321" i="13"/>
  <c r="GT320" i="13"/>
  <c r="GT319" i="13"/>
  <c r="GT318" i="13"/>
  <c r="GT317" i="13"/>
  <c r="GT316" i="13"/>
  <c r="GT315" i="13"/>
  <c r="GT314" i="13"/>
  <c r="GT313" i="13"/>
  <c r="GT312" i="13"/>
  <c r="GT311" i="13"/>
  <c r="GT310" i="13"/>
  <c r="GT309" i="13"/>
  <c r="GT308" i="13"/>
  <c r="GT307" i="13"/>
  <c r="GT306" i="13"/>
  <c r="GT305" i="13"/>
  <c r="GT304" i="13"/>
  <c r="GT303" i="13"/>
  <c r="GT302" i="13"/>
  <c r="GT301" i="13"/>
  <c r="GT300" i="13"/>
  <c r="GT299" i="13"/>
  <c r="GT298" i="13"/>
  <c r="GT297" i="13"/>
  <c r="GT296" i="13"/>
  <c r="GT295" i="13"/>
  <c r="GT294" i="13"/>
  <c r="GT293" i="13"/>
  <c r="GT292" i="13"/>
  <c r="GT291" i="13"/>
  <c r="GT290" i="13"/>
  <c r="GT289" i="13"/>
  <c r="GT288" i="13"/>
  <c r="GT287" i="13"/>
  <c r="GT286" i="13"/>
  <c r="GT285" i="13"/>
  <c r="GT284" i="13"/>
  <c r="GT283" i="13"/>
  <c r="GT282" i="13"/>
  <c r="GT281" i="13"/>
  <c r="GT280" i="13"/>
  <c r="GT279" i="13"/>
  <c r="GT278" i="13"/>
  <c r="GT277" i="13"/>
  <c r="GT276" i="13"/>
  <c r="GT275" i="13"/>
  <c r="GT274" i="13"/>
  <c r="GT273" i="13"/>
  <c r="GT272" i="13"/>
  <c r="GT271" i="13"/>
  <c r="GT270" i="13"/>
  <c r="GT269" i="13"/>
  <c r="GT268" i="13"/>
  <c r="GT267" i="13"/>
  <c r="GT266" i="13"/>
  <c r="GT265" i="13"/>
  <c r="GT264" i="13"/>
  <c r="GT263" i="13"/>
  <c r="GT262" i="13"/>
  <c r="GT261" i="13"/>
  <c r="GT260" i="13"/>
  <c r="GT259" i="13"/>
  <c r="GT258" i="13"/>
  <c r="GT257" i="13"/>
  <c r="GT256" i="13"/>
  <c r="GT255" i="13"/>
  <c r="GT254" i="13"/>
  <c r="GT253" i="13"/>
  <c r="GT252" i="13"/>
  <c r="GT251" i="13"/>
  <c r="GT250" i="13"/>
  <c r="GT249" i="13"/>
  <c r="GT248" i="13"/>
  <c r="GT247" i="13"/>
  <c r="GT246" i="13"/>
  <c r="GT245" i="13"/>
  <c r="GT244" i="13"/>
  <c r="GT243" i="13"/>
  <c r="GT242" i="13"/>
  <c r="GT241" i="13"/>
  <c r="GT240" i="13"/>
  <c r="GT239" i="13"/>
  <c r="GT238" i="13"/>
  <c r="GT237" i="13"/>
  <c r="GT236" i="13"/>
  <c r="GT235" i="13"/>
  <c r="GT234" i="13"/>
  <c r="GT233" i="13"/>
  <c r="GT232" i="13"/>
  <c r="GT231" i="13"/>
  <c r="GT230" i="13"/>
  <c r="GT229" i="13"/>
  <c r="GT228" i="13"/>
  <c r="GT227" i="13"/>
  <c r="GT226" i="13"/>
  <c r="GT225" i="13"/>
  <c r="GT224" i="13"/>
  <c r="GT223" i="13"/>
  <c r="GT222" i="13"/>
  <c r="GT221" i="13"/>
  <c r="GT220" i="13"/>
  <c r="GT219" i="13"/>
  <c r="GT218" i="13"/>
  <c r="GT217" i="13"/>
  <c r="GT216" i="13"/>
  <c r="GT215" i="13"/>
  <c r="GT214" i="13"/>
  <c r="GT213" i="13"/>
  <c r="GT212" i="13"/>
  <c r="GT211" i="13"/>
  <c r="GT210" i="13"/>
  <c r="GT209" i="13"/>
  <c r="GT208" i="13"/>
  <c r="GT207" i="13"/>
  <c r="GT206" i="13"/>
  <c r="GT205" i="13"/>
  <c r="GT204" i="13"/>
  <c r="GT203" i="13"/>
  <c r="GT202" i="13"/>
  <c r="GT201" i="13"/>
  <c r="GT200" i="13"/>
  <c r="GT199" i="13"/>
  <c r="GT198" i="13"/>
  <c r="GT197" i="13"/>
  <c r="GT196" i="13"/>
  <c r="GT195" i="13"/>
  <c r="GT194" i="13"/>
  <c r="GT193" i="13"/>
  <c r="GT192" i="13"/>
  <c r="GT191" i="13"/>
  <c r="GT190" i="13"/>
  <c r="GT189" i="13"/>
  <c r="GT188" i="13"/>
  <c r="GT187" i="13"/>
  <c r="GT186" i="13"/>
  <c r="GT185" i="13"/>
  <c r="GT184" i="13"/>
  <c r="GT183" i="13"/>
  <c r="GT182" i="13"/>
  <c r="GT181" i="13"/>
  <c r="GT180" i="13"/>
  <c r="GT179" i="13"/>
  <c r="GT178" i="13"/>
  <c r="GT177" i="13"/>
  <c r="GT176" i="13"/>
  <c r="GT175" i="13"/>
  <c r="GT174" i="13"/>
  <c r="GT173" i="13"/>
  <c r="GT172" i="13"/>
  <c r="GT171" i="13"/>
  <c r="GT170" i="13"/>
  <c r="GT169" i="13"/>
  <c r="GT168" i="13"/>
  <c r="GT167" i="13"/>
  <c r="GT166" i="13"/>
  <c r="GT165" i="13"/>
  <c r="GT164" i="13"/>
  <c r="GT163" i="13"/>
  <c r="GT162" i="13"/>
  <c r="GT161" i="13"/>
  <c r="GT160" i="13"/>
  <c r="GT159" i="13"/>
  <c r="GT158" i="13"/>
  <c r="GT157" i="13"/>
  <c r="GT156" i="13"/>
  <c r="GT155" i="13"/>
  <c r="GT154" i="13"/>
  <c r="GT153" i="13"/>
  <c r="GT152" i="13"/>
  <c r="GT151" i="13"/>
  <c r="GT150" i="13"/>
  <c r="GT149" i="13"/>
  <c r="GT148" i="13"/>
  <c r="GT147" i="13"/>
  <c r="GT146" i="13"/>
  <c r="GT145" i="13"/>
  <c r="GT144" i="13"/>
  <c r="GT143" i="13"/>
  <c r="GT142" i="13"/>
  <c r="GT141" i="13"/>
  <c r="GT140" i="13"/>
  <c r="GT139" i="13"/>
  <c r="GT138" i="13"/>
  <c r="GT137" i="13"/>
  <c r="GT136" i="13"/>
  <c r="GT135" i="13"/>
  <c r="GT134" i="13"/>
  <c r="GT133" i="13"/>
  <c r="GT132" i="13"/>
  <c r="GT131" i="13"/>
  <c r="GT130" i="13"/>
  <c r="GT129" i="13"/>
  <c r="GT128" i="13"/>
  <c r="GT127" i="13"/>
  <c r="GT126" i="13"/>
  <c r="GT125" i="13"/>
  <c r="GT124" i="13"/>
  <c r="GT123" i="13"/>
  <c r="GT122" i="13"/>
  <c r="GT121" i="13"/>
  <c r="GT120" i="13"/>
  <c r="GT119" i="13"/>
  <c r="GT118" i="13"/>
  <c r="GT117" i="13"/>
  <c r="GT116" i="13"/>
  <c r="GT115" i="13"/>
  <c r="GT114" i="13"/>
  <c r="GT113" i="13"/>
  <c r="GT112" i="13"/>
  <c r="GT111" i="13"/>
  <c r="GT110" i="13"/>
  <c r="GT109" i="13"/>
  <c r="GT108" i="13"/>
  <c r="GT107" i="13"/>
  <c r="GT106" i="13"/>
  <c r="GT105" i="13"/>
  <c r="GT104" i="13"/>
  <c r="GT103" i="13"/>
  <c r="GT102" i="13"/>
  <c r="GT101" i="13"/>
  <c r="GT100" i="13"/>
  <c r="GT99" i="13"/>
  <c r="GT98" i="13"/>
  <c r="GT97" i="13"/>
  <c r="GT96" i="13"/>
  <c r="GT95" i="13"/>
  <c r="GT94" i="13"/>
  <c r="GT93" i="13"/>
  <c r="GT92" i="13"/>
  <c r="GT91" i="13"/>
  <c r="GT90" i="13"/>
  <c r="GT89" i="13"/>
  <c r="GT88" i="13"/>
  <c r="GT87" i="13"/>
  <c r="GT86" i="13"/>
  <c r="GT85" i="13"/>
  <c r="GT84" i="13"/>
  <c r="GT83" i="13"/>
  <c r="GT82" i="13"/>
  <c r="GT81" i="13"/>
  <c r="GT80" i="13"/>
  <c r="GT79" i="13"/>
  <c r="GT78" i="13"/>
  <c r="GT77" i="13"/>
  <c r="GT76" i="13"/>
  <c r="GT75" i="13"/>
  <c r="GT74" i="13"/>
  <c r="GT73" i="13"/>
  <c r="GT72" i="13"/>
  <c r="GT71" i="13"/>
  <c r="GT70" i="13"/>
  <c r="GT69" i="13"/>
  <c r="GT68" i="13"/>
  <c r="GT67" i="13"/>
  <c r="GT66" i="13"/>
  <c r="GT65" i="13"/>
  <c r="GT64" i="13"/>
  <c r="GT63" i="13"/>
  <c r="GT62" i="13"/>
  <c r="GT61" i="13"/>
  <c r="GT60" i="13"/>
  <c r="GT59" i="13"/>
  <c r="GT58" i="13"/>
  <c r="GT57" i="13"/>
  <c r="GT56" i="13"/>
  <c r="GT55" i="13"/>
  <c r="GT54" i="13"/>
  <c r="GT53" i="13"/>
  <c r="GT52" i="13"/>
  <c r="GT51" i="13"/>
  <c r="GT50" i="13"/>
  <c r="GT49" i="13"/>
  <c r="GT48" i="13"/>
  <c r="GT47" i="13"/>
  <c r="GT46" i="13"/>
  <c r="GT45" i="13"/>
  <c r="GT44" i="13"/>
  <c r="GT43" i="13"/>
  <c r="GT42" i="13"/>
  <c r="GT41" i="13"/>
  <c r="GT40" i="13"/>
  <c r="GT39" i="13"/>
  <c r="GT38" i="13"/>
  <c r="GT37" i="13"/>
  <c r="GT36" i="13"/>
  <c r="GT35" i="13"/>
  <c r="GT34" i="13"/>
  <c r="GT33" i="13"/>
  <c r="GT32" i="13"/>
  <c r="GT31" i="13"/>
  <c r="GT30" i="13"/>
  <c r="GT29" i="13"/>
  <c r="GT28" i="13"/>
  <c r="GT27" i="13"/>
  <c r="GT26" i="13"/>
  <c r="GT25" i="13"/>
  <c r="GJ7" i="13" l="1"/>
  <c r="B25" i="11" l="1"/>
  <c r="D23" i="22"/>
  <c r="A25" i="21"/>
  <c r="A26" i="21" l="1"/>
  <c r="B27" i="11"/>
  <c r="B26" i="11"/>
  <c r="B28" i="11"/>
  <c r="B32" i="11"/>
  <c r="B36" i="11"/>
  <c r="B40" i="11"/>
  <c r="B44" i="11"/>
  <c r="B48" i="11"/>
  <c r="B52" i="11"/>
  <c r="B56" i="11"/>
  <c r="B60" i="11"/>
  <c r="B64" i="11"/>
  <c r="B68" i="11"/>
  <c r="B72" i="11"/>
  <c r="B76" i="11"/>
  <c r="B80" i="11"/>
  <c r="B84" i="11"/>
  <c r="B88" i="11"/>
  <c r="B92" i="11"/>
  <c r="B96" i="11"/>
  <c r="B100" i="11"/>
  <c r="B104" i="11"/>
  <c r="B108" i="11"/>
  <c r="B112" i="11"/>
  <c r="B116" i="11"/>
  <c r="B120" i="11"/>
  <c r="B124" i="11"/>
  <c r="B128" i="11"/>
  <c r="B132" i="11"/>
  <c r="B136" i="11"/>
  <c r="B140" i="11"/>
  <c r="B144" i="11"/>
  <c r="B148" i="11"/>
  <c r="B152" i="11"/>
  <c r="B156" i="11"/>
  <c r="B160" i="11"/>
  <c r="B164" i="11"/>
  <c r="B168" i="11"/>
  <c r="B172" i="11"/>
  <c r="B176" i="11"/>
  <c r="B180" i="11"/>
  <c r="B184" i="11"/>
  <c r="B188" i="11"/>
  <c r="B194" i="11"/>
  <c r="B198" i="11"/>
  <c r="B202" i="11"/>
  <c r="B206" i="11"/>
  <c r="B210" i="11"/>
  <c r="B214" i="11"/>
  <c r="B218" i="11"/>
  <c r="B222" i="11"/>
  <c r="B226" i="11"/>
  <c r="B230" i="11"/>
  <c r="B234" i="11"/>
  <c r="B238" i="11"/>
  <c r="B242" i="11"/>
  <c r="B246" i="11"/>
  <c r="B250" i="11"/>
  <c r="B254" i="11"/>
  <c r="B258" i="11"/>
  <c r="B262" i="11"/>
  <c r="B266" i="11"/>
  <c r="B270" i="11"/>
  <c r="B274" i="11"/>
  <c r="B278" i="11"/>
  <c r="B282" i="11"/>
  <c r="B286" i="11"/>
  <c r="B290" i="11"/>
  <c r="B294" i="11"/>
  <c r="B298" i="11"/>
  <c r="B302" i="11"/>
  <c r="B306" i="11"/>
  <c r="B310" i="11"/>
  <c r="B314" i="11"/>
  <c r="B318" i="11"/>
  <c r="B322" i="11"/>
  <c r="B326" i="11"/>
  <c r="B330" i="11"/>
  <c r="B334" i="11"/>
  <c r="B338" i="11"/>
  <c r="B342" i="11"/>
  <c r="B346" i="11"/>
  <c r="B350" i="11"/>
  <c r="B354" i="11"/>
  <c r="B358" i="11"/>
  <c r="B362" i="11"/>
  <c r="B366" i="11"/>
  <c r="B370" i="11"/>
  <c r="B374" i="11"/>
  <c r="B378" i="11"/>
  <c r="B380" i="11"/>
  <c r="B382" i="11"/>
  <c r="B384" i="11"/>
  <c r="B388" i="11"/>
  <c r="B30" i="11"/>
  <c r="B34" i="11"/>
  <c r="B38" i="11"/>
  <c r="B42" i="11"/>
  <c r="B46" i="11"/>
  <c r="B50" i="11"/>
  <c r="B54" i="11"/>
  <c r="B58" i="11"/>
  <c r="B62" i="11"/>
  <c r="B66" i="11"/>
  <c r="B70" i="11"/>
  <c r="B74" i="11"/>
  <c r="B78" i="11"/>
  <c r="B82" i="11"/>
  <c r="B86" i="11"/>
  <c r="B90" i="11"/>
  <c r="B94" i="11"/>
  <c r="B98" i="11"/>
  <c r="B102" i="11"/>
  <c r="B106" i="11"/>
  <c r="B110" i="11"/>
  <c r="B114" i="11"/>
  <c r="B118" i="11"/>
  <c r="B122" i="11"/>
  <c r="B126" i="11"/>
  <c r="B130" i="11"/>
  <c r="B134" i="11"/>
  <c r="B138" i="11"/>
  <c r="B142" i="11"/>
  <c r="B146" i="11"/>
  <c r="B150" i="11"/>
  <c r="B154" i="11"/>
  <c r="B158" i="11"/>
  <c r="B162" i="11"/>
  <c r="B166" i="11"/>
  <c r="B170" i="11"/>
  <c r="B174" i="11"/>
  <c r="B178" i="11"/>
  <c r="B182" i="11"/>
  <c r="B186" i="11"/>
  <c r="B190" i="11"/>
  <c r="B192" i="11"/>
  <c r="B196" i="11"/>
  <c r="B200" i="11"/>
  <c r="B204" i="11"/>
  <c r="B208" i="11"/>
  <c r="B212" i="11"/>
  <c r="B216" i="11"/>
  <c r="B220" i="11"/>
  <c r="B224" i="11"/>
  <c r="B228" i="11"/>
  <c r="B232" i="11"/>
  <c r="B236" i="11"/>
  <c r="B240" i="11"/>
  <c r="B244" i="11"/>
  <c r="B248" i="11"/>
  <c r="B252" i="11"/>
  <c r="B256" i="11"/>
  <c r="B260" i="11"/>
  <c r="B264" i="11"/>
  <c r="B268" i="11"/>
  <c r="B272" i="11"/>
  <c r="B276" i="11"/>
  <c r="B280" i="11"/>
  <c r="B284" i="11"/>
  <c r="B288" i="11"/>
  <c r="B292" i="11"/>
  <c r="B296" i="11"/>
  <c r="B300" i="11"/>
  <c r="B304" i="11"/>
  <c r="B308" i="11"/>
  <c r="B312" i="11"/>
  <c r="B316" i="11"/>
  <c r="B320" i="11"/>
  <c r="B324" i="11"/>
  <c r="B328" i="11"/>
  <c r="B332" i="11"/>
  <c r="B336" i="11"/>
  <c r="B340" i="11"/>
  <c r="B344" i="11"/>
  <c r="B348" i="11"/>
  <c r="B352" i="11"/>
  <c r="B356" i="11"/>
  <c r="B360" i="11"/>
  <c r="B364" i="11"/>
  <c r="B368" i="11"/>
  <c r="B372" i="11"/>
  <c r="B376" i="11"/>
  <c r="B386" i="11"/>
  <c r="B390" i="11"/>
  <c r="B29" i="11"/>
  <c r="B31" i="11"/>
  <c r="B33"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5" i="11"/>
  <c r="B97" i="11"/>
  <c r="B99" i="11"/>
  <c r="B101" i="11"/>
  <c r="B103" i="11"/>
  <c r="B105" i="11"/>
  <c r="B107" i="11"/>
  <c r="B109" i="11"/>
  <c r="B111" i="11"/>
  <c r="B113" i="11"/>
  <c r="B115" i="11"/>
  <c r="B117" i="11"/>
  <c r="B119" i="11"/>
  <c r="B121" i="11"/>
  <c r="B123" i="11"/>
  <c r="B125" i="11"/>
  <c r="B127" i="11"/>
  <c r="B129" i="11"/>
  <c r="B131" i="11"/>
  <c r="B133" i="11"/>
  <c r="B135" i="11"/>
  <c r="B137" i="11"/>
  <c r="B139" i="11"/>
  <c r="B141" i="11"/>
  <c r="B143" i="11"/>
  <c r="B145" i="11"/>
  <c r="B147" i="11"/>
  <c r="B149" i="11"/>
  <c r="B151" i="11"/>
  <c r="B153" i="11"/>
  <c r="B155" i="11"/>
  <c r="B157" i="11"/>
  <c r="B159" i="11"/>
  <c r="B161" i="11"/>
  <c r="B163" i="11"/>
  <c r="B165" i="11"/>
  <c r="B167" i="11"/>
  <c r="B169" i="11"/>
  <c r="B171" i="11"/>
  <c r="B173" i="11"/>
  <c r="B175" i="11"/>
  <c r="B177" i="11"/>
  <c r="B179" i="11"/>
  <c r="B181" i="11"/>
  <c r="B183" i="11"/>
  <c r="B185" i="11"/>
  <c r="B187" i="11"/>
  <c r="B189" i="11"/>
  <c r="B191" i="11"/>
  <c r="B193" i="11"/>
  <c r="B195" i="11"/>
  <c r="B197" i="11"/>
  <c r="B199" i="11"/>
  <c r="B201" i="11"/>
  <c r="B203" i="11"/>
  <c r="B205" i="11"/>
  <c r="B207" i="11"/>
  <c r="B209" i="11"/>
  <c r="B211" i="11"/>
  <c r="B213" i="11"/>
  <c r="B215" i="11"/>
  <c r="B217" i="11"/>
  <c r="B219" i="11"/>
  <c r="B221" i="11"/>
  <c r="B223" i="11"/>
  <c r="B225" i="11"/>
  <c r="B227" i="11"/>
  <c r="B229" i="11"/>
  <c r="B231" i="11"/>
  <c r="B233" i="11"/>
  <c r="B235" i="11"/>
  <c r="B237" i="11"/>
  <c r="B239" i="11"/>
  <c r="B241" i="11"/>
  <c r="B243" i="11"/>
  <c r="B245" i="11"/>
  <c r="B247" i="11"/>
  <c r="B249" i="11"/>
  <c r="B251" i="11"/>
  <c r="B253" i="11"/>
  <c r="B255" i="11"/>
  <c r="B257" i="11"/>
  <c r="B259" i="11"/>
  <c r="B261" i="11"/>
  <c r="B263" i="11"/>
  <c r="B265" i="11"/>
  <c r="B267" i="11"/>
  <c r="B269" i="11"/>
  <c r="B271" i="11"/>
  <c r="B273" i="11"/>
  <c r="B275" i="11"/>
  <c r="B277" i="11"/>
  <c r="B279" i="11"/>
  <c r="B281" i="11"/>
  <c r="B283" i="11"/>
  <c r="B285" i="11"/>
  <c r="B287" i="11"/>
  <c r="B289" i="11"/>
  <c r="B291" i="11"/>
  <c r="B293" i="11"/>
  <c r="B295" i="11"/>
  <c r="B297" i="11"/>
  <c r="B299" i="11"/>
  <c r="B301" i="11"/>
  <c r="B303" i="11"/>
  <c r="B305" i="11"/>
  <c r="B307" i="11"/>
  <c r="B309" i="11"/>
  <c r="B311" i="11"/>
  <c r="B313" i="11"/>
  <c r="B315" i="11"/>
  <c r="B317" i="11"/>
  <c r="B319" i="11"/>
  <c r="B321" i="11"/>
  <c r="B323" i="11"/>
  <c r="B325" i="11"/>
  <c r="B327" i="11"/>
  <c r="B329" i="11"/>
  <c r="B331" i="11"/>
  <c r="B333" i="11"/>
  <c r="B335" i="11"/>
  <c r="B337" i="11"/>
  <c r="B339" i="11"/>
  <c r="B341" i="11"/>
  <c r="B343" i="11"/>
  <c r="B345" i="11"/>
  <c r="B347" i="11"/>
  <c r="B349" i="11"/>
  <c r="B351" i="11"/>
  <c r="B353" i="11"/>
  <c r="B355" i="11"/>
  <c r="B357" i="11"/>
  <c r="B359" i="11"/>
  <c r="B361" i="11"/>
  <c r="B363" i="11"/>
  <c r="B365" i="11"/>
  <c r="B367" i="11"/>
  <c r="B369" i="11"/>
  <c r="B371" i="11"/>
  <c r="B373" i="11"/>
  <c r="B375" i="11"/>
  <c r="B377" i="11"/>
  <c r="B379" i="11"/>
  <c r="B381" i="11"/>
  <c r="B383" i="11"/>
  <c r="B385" i="11"/>
  <c r="B387" i="11"/>
  <c r="B389" i="11"/>
  <c r="B25" i="21" l="1"/>
  <c r="D25" i="21"/>
  <c r="B26" i="21"/>
  <c r="D26" i="21"/>
  <c r="B27" i="21"/>
  <c r="A27" i="21"/>
  <c r="D27" i="21" s="1"/>
  <c r="GU2" i="13"/>
  <c r="GU3" i="13" s="1"/>
  <c r="GW3" i="13" s="1"/>
  <c r="GU4" i="13"/>
  <c r="GU5" i="13" s="1"/>
  <c r="GW5" i="13" s="1"/>
  <c r="GU6" i="13"/>
  <c r="GU7" i="13" s="1"/>
  <c r="GW7" i="13" s="1"/>
  <c r="GU8" i="13"/>
  <c r="A28" i="21" l="1"/>
  <c r="GW8" i="13"/>
  <c r="GW6" i="13"/>
  <c r="GW4" i="13"/>
  <c r="GW2" i="13"/>
  <c r="D28" i="21" l="1"/>
  <c r="B28" i="21"/>
  <c r="A29" i="21"/>
  <c r="HE24" i="13"/>
  <c r="HE390" i="13" s="1"/>
  <c r="G9" i="24"/>
  <c r="F9" i="24"/>
  <c r="GJ24" i="13"/>
  <c r="GU24" i="13"/>
  <c r="GW18" i="13"/>
  <c r="GZ16" i="13"/>
  <c r="HD16" i="13"/>
  <c r="GV16" i="13"/>
  <c r="GX16" i="13"/>
  <c r="D21" i="22"/>
  <c r="E21" i="22"/>
  <c r="E23" i="22"/>
  <c r="F23" i="22"/>
  <c r="G23" i="22"/>
  <c r="H23" i="22"/>
  <c r="H21" i="22"/>
  <c r="G21" i="22"/>
  <c r="F21" i="22"/>
  <c r="GV390" i="13"/>
  <c r="GV389" i="13"/>
  <c r="GV388" i="13"/>
  <c r="GV387" i="13"/>
  <c r="GV386" i="13"/>
  <c r="GV385" i="13"/>
  <c r="GV384" i="13"/>
  <c r="GV383" i="13"/>
  <c r="GV382" i="13"/>
  <c r="GV381" i="13"/>
  <c r="GV380" i="13"/>
  <c r="GV379" i="13"/>
  <c r="GV378" i="13"/>
  <c r="GV377" i="13"/>
  <c r="GV376" i="13"/>
  <c r="GV375" i="13"/>
  <c r="GV374" i="13"/>
  <c r="GV373" i="13"/>
  <c r="GV372" i="13"/>
  <c r="GV371" i="13"/>
  <c r="GV370" i="13"/>
  <c r="GV369" i="13"/>
  <c r="GV368" i="13"/>
  <c r="GV367" i="13"/>
  <c r="GV366" i="13"/>
  <c r="GV365" i="13"/>
  <c r="GV364" i="13"/>
  <c r="GV363" i="13"/>
  <c r="GV362" i="13"/>
  <c r="GV361" i="13"/>
  <c r="GV360" i="13"/>
  <c r="GV359" i="13"/>
  <c r="GV358" i="13"/>
  <c r="GV357" i="13"/>
  <c r="GV356" i="13"/>
  <c r="GV355" i="13"/>
  <c r="GV354" i="13"/>
  <c r="GV353" i="13"/>
  <c r="GV352" i="13"/>
  <c r="GV351" i="13"/>
  <c r="GV350" i="13"/>
  <c r="GV349" i="13"/>
  <c r="GV348" i="13"/>
  <c r="GV347" i="13"/>
  <c r="GV346" i="13"/>
  <c r="GV345" i="13"/>
  <c r="GV344" i="13"/>
  <c r="GV343" i="13"/>
  <c r="GV342" i="13"/>
  <c r="GV341" i="13"/>
  <c r="GV340" i="13"/>
  <c r="GV339" i="13"/>
  <c r="GV338" i="13"/>
  <c r="GV337" i="13"/>
  <c r="GV336" i="13"/>
  <c r="GV335" i="13"/>
  <c r="GV334" i="13"/>
  <c r="GV333" i="13"/>
  <c r="GV332" i="13"/>
  <c r="GV331" i="13"/>
  <c r="GV330" i="13"/>
  <c r="GV329" i="13"/>
  <c r="GV328" i="13"/>
  <c r="GV327" i="13"/>
  <c r="GV326" i="13"/>
  <c r="GV325" i="13"/>
  <c r="GV324" i="13"/>
  <c r="GV323" i="13"/>
  <c r="GV322" i="13"/>
  <c r="GV321" i="13"/>
  <c r="GV320" i="13"/>
  <c r="GV319" i="13"/>
  <c r="GV318" i="13"/>
  <c r="GV317" i="13"/>
  <c r="GV316" i="13"/>
  <c r="GV315" i="13"/>
  <c r="GV314" i="13"/>
  <c r="GV313" i="13"/>
  <c r="GV312" i="13"/>
  <c r="GV311" i="13"/>
  <c r="GV310" i="13"/>
  <c r="GV309" i="13"/>
  <c r="GV308" i="13"/>
  <c r="GV307" i="13"/>
  <c r="GV306" i="13"/>
  <c r="GV305" i="13"/>
  <c r="GV304" i="13"/>
  <c r="GV303" i="13"/>
  <c r="GV302" i="13"/>
  <c r="GV301" i="13"/>
  <c r="GV300" i="13"/>
  <c r="GV299" i="13"/>
  <c r="GV298" i="13"/>
  <c r="GV297" i="13"/>
  <c r="GV296" i="13"/>
  <c r="GV295" i="13"/>
  <c r="GV294" i="13"/>
  <c r="GV293" i="13"/>
  <c r="GV292" i="13"/>
  <c r="GV291" i="13"/>
  <c r="GV290" i="13"/>
  <c r="GV289" i="13"/>
  <c r="GV288" i="13"/>
  <c r="GV287" i="13"/>
  <c r="GV286" i="13"/>
  <c r="GV285" i="13"/>
  <c r="GV284" i="13"/>
  <c r="GV283" i="13"/>
  <c r="GV282" i="13"/>
  <c r="GV281" i="13"/>
  <c r="GV280" i="13"/>
  <c r="GV279" i="13"/>
  <c r="GV278" i="13"/>
  <c r="GV277" i="13"/>
  <c r="GV276" i="13"/>
  <c r="GV275" i="13"/>
  <c r="GV274" i="13"/>
  <c r="GV273" i="13"/>
  <c r="GV272" i="13"/>
  <c r="GV271" i="13"/>
  <c r="GV270" i="13"/>
  <c r="GV269" i="13"/>
  <c r="GV268" i="13"/>
  <c r="GV267" i="13"/>
  <c r="GV266" i="13"/>
  <c r="GV265" i="13"/>
  <c r="GV264" i="13"/>
  <c r="GV263" i="13"/>
  <c r="GV262" i="13"/>
  <c r="GV261" i="13"/>
  <c r="GV260" i="13"/>
  <c r="GV259" i="13"/>
  <c r="GV258" i="13"/>
  <c r="GV257" i="13"/>
  <c r="GV256" i="13"/>
  <c r="GV255" i="13"/>
  <c r="GV254" i="13"/>
  <c r="GV253" i="13"/>
  <c r="GV252" i="13"/>
  <c r="GV251" i="13"/>
  <c r="GV250" i="13"/>
  <c r="GV249" i="13"/>
  <c r="GV248" i="13"/>
  <c r="GV247" i="13"/>
  <c r="GV246" i="13"/>
  <c r="GV245" i="13"/>
  <c r="GV244" i="13"/>
  <c r="GV243" i="13"/>
  <c r="GV242" i="13"/>
  <c r="GV241" i="13"/>
  <c r="GV240" i="13"/>
  <c r="GV239" i="13"/>
  <c r="GV238" i="13"/>
  <c r="GV237" i="13"/>
  <c r="GV236" i="13"/>
  <c r="GV235" i="13"/>
  <c r="GV234" i="13"/>
  <c r="GV233" i="13"/>
  <c r="GV232" i="13"/>
  <c r="GV231" i="13"/>
  <c r="GV230" i="13"/>
  <c r="GV229" i="13"/>
  <c r="GV228" i="13"/>
  <c r="GV227" i="13"/>
  <c r="GV226" i="13"/>
  <c r="GV225" i="13"/>
  <c r="GV224" i="13"/>
  <c r="GV223" i="13"/>
  <c r="GV222" i="13"/>
  <c r="GV221" i="13"/>
  <c r="GV220" i="13"/>
  <c r="GV219" i="13"/>
  <c r="GV218" i="13"/>
  <c r="GV217" i="13"/>
  <c r="GV216" i="13"/>
  <c r="GV215" i="13"/>
  <c r="GV214" i="13"/>
  <c r="GV213" i="13"/>
  <c r="GV212" i="13"/>
  <c r="GV211" i="13"/>
  <c r="GV210" i="13"/>
  <c r="GV209" i="13"/>
  <c r="GV208" i="13"/>
  <c r="GV207" i="13"/>
  <c r="GV206" i="13"/>
  <c r="GV205" i="13"/>
  <c r="GV204" i="13"/>
  <c r="GV203" i="13"/>
  <c r="GV202" i="13"/>
  <c r="GV201" i="13"/>
  <c r="GV200" i="13"/>
  <c r="GV199" i="13"/>
  <c r="GV198" i="13"/>
  <c r="GV197" i="13"/>
  <c r="GV196" i="13"/>
  <c r="GV195" i="13"/>
  <c r="GV194" i="13"/>
  <c r="GV193" i="13"/>
  <c r="GV192" i="13"/>
  <c r="GV191" i="13"/>
  <c r="GV190" i="13"/>
  <c r="GV189" i="13"/>
  <c r="GV188" i="13"/>
  <c r="GV187" i="13"/>
  <c r="GV186" i="13"/>
  <c r="GV185" i="13"/>
  <c r="GV184" i="13"/>
  <c r="GV183" i="13"/>
  <c r="GV182" i="13"/>
  <c r="GV181" i="13"/>
  <c r="GV180" i="13"/>
  <c r="GV179" i="13"/>
  <c r="GV178" i="13"/>
  <c r="GV177" i="13"/>
  <c r="GV176" i="13"/>
  <c r="GV175" i="13"/>
  <c r="GV174" i="13"/>
  <c r="GV173" i="13"/>
  <c r="GV172" i="13"/>
  <c r="GV171" i="13"/>
  <c r="GV170" i="13"/>
  <c r="GV169" i="13"/>
  <c r="GV168" i="13"/>
  <c r="GV167" i="13"/>
  <c r="GV166" i="13"/>
  <c r="GV165" i="13"/>
  <c r="GV164" i="13"/>
  <c r="GV163" i="13"/>
  <c r="GV162" i="13"/>
  <c r="GV161" i="13"/>
  <c r="GV160" i="13"/>
  <c r="GV159" i="13"/>
  <c r="GV158" i="13"/>
  <c r="GV157" i="13"/>
  <c r="GV156" i="13"/>
  <c r="GV155" i="13"/>
  <c r="GV154" i="13"/>
  <c r="GV153" i="13"/>
  <c r="GV152" i="13"/>
  <c r="GV151" i="13"/>
  <c r="GV150" i="13"/>
  <c r="GV149" i="13"/>
  <c r="GV148" i="13"/>
  <c r="GV147" i="13"/>
  <c r="GV146" i="13"/>
  <c r="GV145" i="13"/>
  <c r="GV144" i="13"/>
  <c r="GV143" i="13"/>
  <c r="GV142" i="13"/>
  <c r="GV141" i="13"/>
  <c r="GV140" i="13"/>
  <c r="GV139" i="13"/>
  <c r="GV138" i="13"/>
  <c r="GV137" i="13"/>
  <c r="GV136" i="13"/>
  <c r="GV135" i="13"/>
  <c r="GV134" i="13"/>
  <c r="GV133" i="13"/>
  <c r="GV132" i="13"/>
  <c r="GV131" i="13"/>
  <c r="GV130" i="13"/>
  <c r="GV129" i="13"/>
  <c r="GV128" i="13"/>
  <c r="GV127" i="13"/>
  <c r="GV126" i="13"/>
  <c r="GV125" i="13"/>
  <c r="GV124" i="13"/>
  <c r="GV123" i="13"/>
  <c r="GV122" i="13"/>
  <c r="GV121" i="13"/>
  <c r="GV120" i="13"/>
  <c r="GV119" i="13"/>
  <c r="GV118" i="13"/>
  <c r="GV117" i="13"/>
  <c r="GV116" i="13"/>
  <c r="GV115" i="13"/>
  <c r="GV114" i="13"/>
  <c r="GV113" i="13"/>
  <c r="GV112" i="13"/>
  <c r="GV111" i="13"/>
  <c r="GV110" i="13"/>
  <c r="GV109" i="13"/>
  <c r="GV108" i="13"/>
  <c r="GV107" i="13"/>
  <c r="GV106" i="13"/>
  <c r="GV105" i="13"/>
  <c r="GV104" i="13"/>
  <c r="GV103" i="13"/>
  <c r="GV102" i="13"/>
  <c r="GV101" i="13"/>
  <c r="GV100" i="13"/>
  <c r="GV99" i="13"/>
  <c r="GV98" i="13"/>
  <c r="GV97" i="13"/>
  <c r="GV96" i="13"/>
  <c r="GV95" i="13"/>
  <c r="GV94" i="13"/>
  <c r="GV93" i="13"/>
  <c r="GV92" i="13"/>
  <c r="GV91" i="13"/>
  <c r="GV90" i="13"/>
  <c r="GV89" i="13"/>
  <c r="GV88" i="13"/>
  <c r="GV87" i="13"/>
  <c r="GV86" i="13"/>
  <c r="GV85" i="13"/>
  <c r="GV84" i="13"/>
  <c r="GV83" i="13"/>
  <c r="GV82" i="13"/>
  <c r="GV81" i="13"/>
  <c r="GV80" i="13"/>
  <c r="GV79" i="13"/>
  <c r="GV78" i="13"/>
  <c r="GV77" i="13"/>
  <c r="GV76" i="13"/>
  <c r="GV75" i="13"/>
  <c r="GV74" i="13"/>
  <c r="GV73" i="13"/>
  <c r="GV72" i="13"/>
  <c r="GV71" i="13"/>
  <c r="GV70" i="13"/>
  <c r="GV69" i="13"/>
  <c r="GV68" i="13"/>
  <c r="GV67" i="13"/>
  <c r="GV66" i="13"/>
  <c r="GV65" i="13"/>
  <c r="GV64" i="13"/>
  <c r="GV63" i="13"/>
  <c r="GV62" i="13"/>
  <c r="GV61" i="13"/>
  <c r="GV60" i="13"/>
  <c r="GV59" i="13"/>
  <c r="GV58" i="13"/>
  <c r="GV57" i="13"/>
  <c r="GV56" i="13"/>
  <c r="GV55" i="13"/>
  <c r="GV54" i="13"/>
  <c r="GV53" i="13"/>
  <c r="GV52" i="13"/>
  <c r="GV51" i="13"/>
  <c r="GV50" i="13"/>
  <c r="GV49" i="13"/>
  <c r="GV48" i="13"/>
  <c r="GV47" i="13"/>
  <c r="GV46" i="13"/>
  <c r="GV45" i="13"/>
  <c r="GV44" i="13"/>
  <c r="GV43" i="13"/>
  <c r="GV42" i="13"/>
  <c r="GV41" i="13"/>
  <c r="GV40" i="13"/>
  <c r="GV39" i="13"/>
  <c r="GV38" i="13"/>
  <c r="GV37" i="13"/>
  <c r="GV36" i="13"/>
  <c r="GV35" i="13"/>
  <c r="GV34" i="13"/>
  <c r="GV33" i="13"/>
  <c r="GV32" i="13"/>
  <c r="GV31" i="13"/>
  <c r="GV30" i="13"/>
  <c r="GV29" i="13"/>
  <c r="GV28" i="13"/>
  <c r="GV27" i="13"/>
  <c r="GV26" i="13"/>
  <c r="GV25" i="13"/>
  <c r="GU25" i="13"/>
  <c r="GV24" i="13"/>
  <c r="GX3" i="13"/>
  <c r="GX5" i="13"/>
  <c r="GX7" i="13"/>
  <c r="GX9" i="13"/>
  <c r="GX8" i="13"/>
  <c r="GX6" i="13"/>
  <c r="GX4" i="13"/>
  <c r="GX2" i="13"/>
  <c r="GX18" i="13"/>
  <c r="B29" i="21" l="1"/>
  <c r="D29" i="21"/>
  <c r="HE136" i="13"/>
  <c r="HE73" i="13"/>
  <c r="HE88" i="13"/>
  <c r="HE58" i="13"/>
  <c r="HE327" i="13"/>
  <c r="HE106" i="13"/>
  <c r="HE121" i="13"/>
  <c r="HE154" i="13"/>
  <c r="HE172" i="13"/>
  <c r="HE196" i="13"/>
  <c r="HE229" i="13"/>
  <c r="HE25" i="13"/>
  <c r="HE255" i="13"/>
  <c r="HE40" i="13"/>
  <c r="HE283" i="13"/>
  <c r="HE39" i="13"/>
  <c r="HE57" i="13"/>
  <c r="HE72" i="13"/>
  <c r="HE87" i="13"/>
  <c r="HE105" i="13"/>
  <c r="HE120" i="13"/>
  <c r="HE135" i="13"/>
  <c r="HE153" i="13"/>
  <c r="HE171" i="13"/>
  <c r="HE195" i="13"/>
  <c r="HE223" i="13"/>
  <c r="HE254" i="13"/>
  <c r="HE282" i="13"/>
  <c r="HE326" i="13"/>
  <c r="HE385" i="13"/>
  <c r="HE26" i="13"/>
  <c r="HE44" i="13"/>
  <c r="HE59" i="13"/>
  <c r="HE74" i="13"/>
  <c r="HE92" i="13"/>
  <c r="HE107" i="13"/>
  <c r="HE122" i="13"/>
  <c r="HE140" i="13"/>
  <c r="HE155" i="13"/>
  <c r="HE173" i="13"/>
  <c r="HE205" i="13"/>
  <c r="HE230" i="13"/>
  <c r="HE256" i="13"/>
  <c r="HE292" i="13"/>
  <c r="HE330" i="13"/>
  <c r="HE27" i="13"/>
  <c r="HE45" i="13"/>
  <c r="HE60" i="13"/>
  <c r="HE75" i="13"/>
  <c r="HE93" i="13"/>
  <c r="HE108" i="13"/>
  <c r="HE123" i="13"/>
  <c r="HE141" i="13"/>
  <c r="HE156" i="13"/>
  <c r="HE174" i="13"/>
  <c r="HE206" i="13"/>
  <c r="HE231" i="13"/>
  <c r="HE258" i="13"/>
  <c r="HE294" i="13"/>
  <c r="HE337" i="13"/>
  <c r="HE28" i="13"/>
  <c r="HE46" i="13"/>
  <c r="HE61" i="13"/>
  <c r="HE76" i="13"/>
  <c r="HE94" i="13"/>
  <c r="HE109" i="13"/>
  <c r="HE124" i="13"/>
  <c r="HE142" i="13"/>
  <c r="HE157" i="13"/>
  <c r="HE175" i="13"/>
  <c r="HE207" i="13"/>
  <c r="HE232" i="13"/>
  <c r="HE259" i="13"/>
  <c r="HE295" i="13"/>
  <c r="HE338" i="13"/>
  <c r="HE32" i="13"/>
  <c r="HE47" i="13"/>
  <c r="HE62" i="13"/>
  <c r="HE80" i="13"/>
  <c r="HE95" i="13"/>
  <c r="HE110" i="13"/>
  <c r="HE128" i="13"/>
  <c r="HE143" i="13"/>
  <c r="HE158" i="13"/>
  <c r="HE183" i="13"/>
  <c r="HE208" i="13"/>
  <c r="HE233" i="13"/>
  <c r="HE268" i="13"/>
  <c r="HE301" i="13"/>
  <c r="HE339" i="13"/>
  <c r="HE33" i="13"/>
  <c r="HE48" i="13"/>
  <c r="HE63" i="13"/>
  <c r="HE81" i="13"/>
  <c r="HE96" i="13"/>
  <c r="HE111" i="13"/>
  <c r="HE129" i="13"/>
  <c r="HE144" i="13"/>
  <c r="HE159" i="13"/>
  <c r="HE184" i="13"/>
  <c r="HE209" i="13"/>
  <c r="HE234" i="13"/>
  <c r="HE270" i="13"/>
  <c r="HE302" i="13"/>
  <c r="HE342" i="13"/>
  <c r="HE34" i="13"/>
  <c r="HE49" i="13"/>
  <c r="HE64" i="13"/>
  <c r="HE82" i="13"/>
  <c r="HE97" i="13"/>
  <c r="HE112" i="13"/>
  <c r="HE130" i="13"/>
  <c r="HE145" i="13"/>
  <c r="HE160" i="13"/>
  <c r="HE185" i="13"/>
  <c r="HE210" i="13"/>
  <c r="HE235" i="13"/>
  <c r="HE271" i="13"/>
  <c r="HE303" i="13"/>
  <c r="HE349" i="13"/>
  <c r="HE35" i="13"/>
  <c r="HE50" i="13"/>
  <c r="HE68" i="13"/>
  <c r="HE83" i="13"/>
  <c r="HE98" i="13"/>
  <c r="HE116" i="13"/>
  <c r="HE131" i="13"/>
  <c r="HE146" i="13"/>
  <c r="HE165" i="13"/>
  <c r="HE186" i="13"/>
  <c r="HE211" i="13"/>
  <c r="HE244" i="13"/>
  <c r="HE277" i="13"/>
  <c r="HE306" i="13"/>
  <c r="HE363" i="13"/>
  <c r="HE36" i="13"/>
  <c r="HE51" i="13"/>
  <c r="HE69" i="13"/>
  <c r="HE84" i="13"/>
  <c r="HE99" i="13"/>
  <c r="HE117" i="13"/>
  <c r="HE132" i="13"/>
  <c r="HE147" i="13"/>
  <c r="HE167" i="13"/>
  <c r="HE187" i="13"/>
  <c r="HE217" i="13"/>
  <c r="HE246" i="13"/>
  <c r="HE278" i="13"/>
  <c r="HE307" i="13"/>
  <c r="HE366" i="13"/>
  <c r="HE37" i="13"/>
  <c r="HE52" i="13"/>
  <c r="HE70" i="13"/>
  <c r="HE85" i="13"/>
  <c r="HE100" i="13"/>
  <c r="HE118" i="13"/>
  <c r="HE133" i="13"/>
  <c r="HE148" i="13"/>
  <c r="HE169" i="13"/>
  <c r="HE193" i="13"/>
  <c r="HE218" i="13"/>
  <c r="HE247" i="13"/>
  <c r="HE279" i="13"/>
  <c r="HE313" i="13"/>
  <c r="HE373" i="13"/>
  <c r="HE38" i="13"/>
  <c r="HE56" i="13"/>
  <c r="HE71" i="13"/>
  <c r="HE86" i="13"/>
  <c r="HE104" i="13"/>
  <c r="HE119" i="13"/>
  <c r="HE134" i="13"/>
  <c r="HE152" i="13"/>
  <c r="HE170" i="13"/>
  <c r="HE194" i="13"/>
  <c r="HE222" i="13"/>
  <c r="HE253" i="13"/>
  <c r="HE280" i="13"/>
  <c r="HE325" i="13"/>
  <c r="HE378" i="13"/>
  <c r="HE29" i="13"/>
  <c r="HE41" i="13"/>
  <c r="HE53" i="13"/>
  <c r="HE65" i="13"/>
  <c r="HE77" i="13"/>
  <c r="HE89" i="13"/>
  <c r="HE101" i="13"/>
  <c r="HE113" i="13"/>
  <c r="HE125" i="13"/>
  <c r="HE137" i="13"/>
  <c r="HE149" i="13"/>
  <c r="HE161" i="13"/>
  <c r="HE177" i="13"/>
  <c r="HE197" i="13"/>
  <c r="HE219" i="13"/>
  <c r="HE241" i="13"/>
  <c r="HE265" i="13"/>
  <c r="HE289" i="13"/>
  <c r="HE314" i="13"/>
  <c r="HE351" i="13"/>
  <c r="HE30" i="13"/>
  <c r="HE42" i="13"/>
  <c r="HE54" i="13"/>
  <c r="HE66" i="13"/>
  <c r="HE78" i="13"/>
  <c r="HE90" i="13"/>
  <c r="HE102" i="13"/>
  <c r="HE114" i="13"/>
  <c r="HE126" i="13"/>
  <c r="HE138" i="13"/>
  <c r="HE150" i="13"/>
  <c r="HE162" i="13"/>
  <c r="HE181" i="13"/>
  <c r="HE198" i="13"/>
  <c r="HE220" i="13"/>
  <c r="HE242" i="13"/>
  <c r="HE266" i="13"/>
  <c r="HE290" i="13"/>
  <c r="HE315" i="13"/>
  <c r="HE354" i="13"/>
  <c r="HE31" i="13"/>
  <c r="HE43" i="13"/>
  <c r="HE55" i="13"/>
  <c r="HE67" i="13"/>
  <c r="HE79" i="13"/>
  <c r="HE91" i="13"/>
  <c r="HE103" i="13"/>
  <c r="HE115" i="13"/>
  <c r="HE127" i="13"/>
  <c r="HE139" i="13"/>
  <c r="HE151" i="13"/>
  <c r="HE163" i="13"/>
  <c r="HE182" i="13"/>
  <c r="HE199" i="13"/>
  <c r="HE221" i="13"/>
  <c r="HE243" i="13"/>
  <c r="HE267" i="13"/>
  <c r="HE291" i="13"/>
  <c r="HE318" i="13"/>
  <c r="HE361" i="13"/>
  <c r="HE350" i="13"/>
  <c r="HE362" i="13"/>
  <c r="HE374" i="13"/>
  <c r="HE386" i="13"/>
  <c r="HE375" i="13"/>
  <c r="HE387" i="13"/>
  <c r="HE304" i="13"/>
  <c r="HE316" i="13"/>
  <c r="HE328" i="13"/>
  <c r="HE340" i="13"/>
  <c r="HE352" i="13"/>
  <c r="HE364" i="13"/>
  <c r="HE376" i="13"/>
  <c r="HE388" i="13"/>
  <c r="HE245" i="13"/>
  <c r="HE257" i="13"/>
  <c r="HE269" i="13"/>
  <c r="HE281" i="13"/>
  <c r="HE293" i="13"/>
  <c r="HE305" i="13"/>
  <c r="HE317" i="13"/>
  <c r="HE329" i="13"/>
  <c r="HE341" i="13"/>
  <c r="HE353" i="13"/>
  <c r="HE365" i="13"/>
  <c r="HE377" i="13"/>
  <c r="HE389" i="13"/>
  <c r="HE319" i="13"/>
  <c r="HE331" i="13"/>
  <c r="HE343" i="13"/>
  <c r="HE355" i="13"/>
  <c r="HE367" i="13"/>
  <c r="HE379" i="13"/>
  <c r="HE164" i="13"/>
  <c r="HE176" i="13"/>
  <c r="HE188" i="13"/>
  <c r="HE200" i="13"/>
  <c r="HE212" i="13"/>
  <c r="HE224" i="13"/>
  <c r="HE236" i="13"/>
  <c r="HE248" i="13"/>
  <c r="HE260" i="13"/>
  <c r="HE272" i="13"/>
  <c r="HE284" i="13"/>
  <c r="HE296" i="13"/>
  <c r="HE308" i="13"/>
  <c r="HE320" i="13"/>
  <c r="HE332" i="13"/>
  <c r="HE344" i="13"/>
  <c r="HE356" i="13"/>
  <c r="HE368" i="13"/>
  <c r="HE380" i="13"/>
  <c r="HE189" i="13"/>
  <c r="HE201" i="13"/>
  <c r="HE213" i="13"/>
  <c r="HE225" i="13"/>
  <c r="HE237" i="13"/>
  <c r="HE249" i="13"/>
  <c r="HE261" i="13"/>
  <c r="HE273" i="13"/>
  <c r="HE285" i="13"/>
  <c r="HE297" i="13"/>
  <c r="HE309" i="13"/>
  <c r="HE321" i="13"/>
  <c r="HE333" i="13"/>
  <c r="HE345" i="13"/>
  <c r="HE357" i="13"/>
  <c r="HE369" i="13"/>
  <c r="HE381" i="13"/>
  <c r="HE166" i="13"/>
  <c r="HE178" i="13"/>
  <c r="HE190" i="13"/>
  <c r="HE202" i="13"/>
  <c r="HE214" i="13"/>
  <c r="HE226" i="13"/>
  <c r="HE238" i="13"/>
  <c r="HE250" i="13"/>
  <c r="HE262" i="13"/>
  <c r="HE274" i="13"/>
  <c r="HE286" i="13"/>
  <c r="HE298" i="13"/>
  <c r="HE310" i="13"/>
  <c r="HE322" i="13"/>
  <c r="HE334" i="13"/>
  <c r="HE346" i="13"/>
  <c r="HE358" i="13"/>
  <c r="HE370" i="13"/>
  <c r="HE382" i="13"/>
  <c r="HE179" i="13"/>
  <c r="HE191" i="13"/>
  <c r="HE203" i="13"/>
  <c r="HE215" i="13"/>
  <c r="HE227" i="13"/>
  <c r="HE239" i="13"/>
  <c r="HE251" i="13"/>
  <c r="HE263" i="13"/>
  <c r="HE275" i="13"/>
  <c r="HE287" i="13"/>
  <c r="HE299" i="13"/>
  <c r="HE311" i="13"/>
  <c r="HE323" i="13"/>
  <c r="HE335" i="13"/>
  <c r="HE347" i="13"/>
  <c r="HE359" i="13"/>
  <c r="HE371" i="13"/>
  <c r="HE383" i="13"/>
  <c r="HE168" i="13"/>
  <c r="HE180" i="13"/>
  <c r="HE192" i="13"/>
  <c r="HE204" i="13"/>
  <c r="HE216" i="13"/>
  <c r="HE228" i="13"/>
  <c r="HE240" i="13"/>
  <c r="HE252" i="13"/>
  <c r="HE264" i="13"/>
  <c r="HE276" i="13"/>
  <c r="HE288" i="13"/>
  <c r="HE300" i="13"/>
  <c r="HE312" i="13"/>
  <c r="HE324" i="13"/>
  <c r="HE336" i="13"/>
  <c r="HE348" i="13"/>
  <c r="HE360" i="13"/>
  <c r="HE372" i="13"/>
  <c r="HE384" i="13"/>
  <c r="K43" i="42"/>
  <c r="F35" i="42"/>
  <c r="A30" i="21"/>
  <c r="HB16" i="13"/>
  <c r="GU9" i="13"/>
  <c r="GW9" i="13" s="1"/>
  <c r="B30" i="21" l="1"/>
  <c r="D30" i="21"/>
  <c r="A31" i="21"/>
  <c r="GS5" i="13"/>
  <c r="B31" i="21" l="1"/>
  <c r="D31" i="21"/>
  <c r="A32" i="21"/>
  <c r="G18" i="21"/>
  <c r="Q18" i="21" s="1"/>
  <c r="GW16" i="13"/>
  <c r="GY16" i="13"/>
  <c r="HA16" i="13"/>
  <c r="HC16" i="13"/>
  <c r="B32" i="21" l="1"/>
  <c r="D32" i="21"/>
  <c r="A33" i="21"/>
  <c r="GU26" i="13"/>
  <c r="D18" i="21"/>
  <c r="GK16" i="13" s="1"/>
  <c r="B33" i="21" l="1"/>
  <c r="D33" i="21"/>
  <c r="A34" i="21"/>
  <c r="GO14" i="13"/>
  <c r="GO15" i="13"/>
  <c r="GU27" i="13"/>
  <c r="HD18" i="13"/>
  <c r="HB18" i="13"/>
  <c r="GZ18" i="13"/>
  <c r="GY18" i="13"/>
  <c r="B34" i="21" l="1"/>
  <c r="D34" i="21"/>
  <c r="A35" i="21"/>
  <c r="GU28" i="13"/>
  <c r="GW19" i="13"/>
  <c r="GV19" i="13"/>
  <c r="HA18" i="13"/>
  <c r="HC18" i="13"/>
  <c r="B35" i="21" l="1"/>
  <c r="D35" i="21"/>
  <c r="A36" i="21"/>
  <c r="GU29" i="13"/>
  <c r="GX19" i="13"/>
  <c r="GW21" i="13"/>
  <c r="HD19" i="13"/>
  <c r="D58" i="24" s="1"/>
  <c r="HC19" i="13"/>
  <c r="GZ19" i="13"/>
  <c r="HA19" i="13"/>
  <c r="HB19" i="13"/>
  <c r="GY19" i="13"/>
  <c r="GY21" i="13"/>
  <c r="GZ21" i="13"/>
  <c r="HC21" i="13"/>
  <c r="HD21" i="13"/>
  <c r="HB21" i="13"/>
  <c r="N29" i="24" s="1"/>
  <c r="GX21" i="13"/>
  <c r="HA21" i="13"/>
  <c r="D36" i="21" l="1"/>
  <c r="B36" i="21"/>
  <c r="D55" i="24"/>
  <c r="C55" i="24" s="1"/>
  <c r="D57" i="24"/>
  <c r="C57" i="24" s="1"/>
  <c r="D56" i="24"/>
  <c r="C56" i="24" s="1"/>
  <c r="N30" i="24"/>
  <c r="N31" i="24"/>
  <c r="A37" i="21"/>
  <c r="GO4" i="13"/>
  <c r="N28" i="24"/>
  <c r="GW24" i="13"/>
  <c r="N24" i="24" s="1"/>
  <c r="GU30" i="13"/>
  <c r="GZ24" i="13"/>
  <c r="N27" i="24" s="1"/>
  <c r="GX24" i="13"/>
  <c r="N25" i="24" s="1"/>
  <c r="GY24" i="13"/>
  <c r="N26" i="24" s="1"/>
  <c r="HC22" i="13"/>
  <c r="HC23" i="13"/>
  <c r="HB22" i="13"/>
  <c r="HB23" i="13"/>
  <c r="B37" i="21" l="1"/>
  <c r="D37" i="21"/>
  <c r="B55" i="24"/>
  <c r="B56" i="24"/>
  <c r="B57" i="24"/>
  <c r="HD22" i="13"/>
  <c r="HD23" i="13"/>
  <c r="J57" i="24"/>
  <c r="K56" i="24"/>
  <c r="K55" i="24"/>
  <c r="G55" i="24"/>
  <c r="I10" i="21" s="1"/>
  <c r="G56" i="24"/>
  <c r="J55" i="24"/>
  <c r="J56" i="24"/>
  <c r="G57" i="24"/>
  <c r="K57" i="24"/>
  <c r="A38" i="21"/>
  <c r="HA23" i="13"/>
  <c r="HA22" i="13"/>
  <c r="GW23" i="13"/>
  <c r="GO7" i="13"/>
  <c r="GW22" i="13"/>
  <c r="GU31" i="13"/>
  <c r="GY22" i="13"/>
  <c r="GZ23" i="13"/>
  <c r="GZ22" i="13"/>
  <c r="GX22" i="13"/>
  <c r="GY23" i="13"/>
  <c r="GX23" i="13"/>
  <c r="D38" i="21" l="1"/>
  <c r="B38" i="21"/>
  <c r="H57" i="24"/>
  <c r="H56" i="24"/>
  <c r="H55" i="24"/>
  <c r="M10" i="21"/>
  <c r="K10" i="21"/>
  <c r="A39" i="21"/>
  <c r="GW25" i="13"/>
  <c r="GW31" i="13"/>
  <c r="GZ31" i="13"/>
  <c r="GZ28" i="13"/>
  <c r="GZ27" i="13"/>
  <c r="GW26" i="13"/>
  <c r="GZ25" i="13"/>
  <c r="GX30" i="13"/>
  <c r="GZ26" i="13"/>
  <c r="GZ30" i="13"/>
  <c r="GZ29" i="13"/>
  <c r="GX31" i="13"/>
  <c r="GY31" i="13"/>
  <c r="GX29" i="13"/>
  <c r="GW29" i="13"/>
  <c r="GW30" i="13"/>
  <c r="GX25" i="13"/>
  <c r="GW27" i="13"/>
  <c r="GW28" i="13"/>
  <c r="GX26" i="13"/>
  <c r="GY30" i="13"/>
  <c r="GY26" i="13"/>
  <c r="GY29" i="13"/>
  <c r="GX27" i="13"/>
  <c r="GX28" i="13"/>
  <c r="GY28" i="13"/>
  <c r="GY25" i="13"/>
  <c r="GY27" i="13"/>
  <c r="GU32" i="13"/>
  <c r="D39" i="21" l="1"/>
  <c r="B39" i="21"/>
  <c r="HF30" i="13"/>
  <c r="HG30" i="13" s="1"/>
  <c r="HF27" i="13"/>
  <c r="HG27" i="13" s="1"/>
  <c r="HF28" i="13"/>
  <c r="HG28" i="13" s="1"/>
  <c r="HF29" i="13"/>
  <c r="HG29" i="13" s="1"/>
  <c r="HF26" i="13"/>
  <c r="HG26" i="13" s="1"/>
  <c r="HF31" i="13"/>
  <c r="HG31" i="13" s="1"/>
  <c r="HF25" i="13"/>
  <c r="HG25" i="13" s="1"/>
  <c r="A40" i="21"/>
  <c r="GW32" i="13"/>
  <c r="GY32" i="13"/>
  <c r="GX32" i="13"/>
  <c r="GZ32" i="13"/>
  <c r="GU33" i="13"/>
  <c r="B40" i="21" l="1"/>
  <c r="D40" i="21"/>
  <c r="HH31" i="13"/>
  <c r="HI31" i="13"/>
  <c r="HI29" i="13"/>
  <c r="HH27" i="13"/>
  <c r="HI27" i="13"/>
  <c r="HH25" i="13"/>
  <c r="HI25" i="13"/>
  <c r="HH26" i="13"/>
  <c r="HI26" i="13"/>
  <c r="HH28" i="13"/>
  <c r="HI28" i="13"/>
  <c r="HH30" i="13"/>
  <c r="HI30" i="13"/>
  <c r="HF32" i="13"/>
  <c r="HG32" i="13" s="1"/>
  <c r="A41" i="21"/>
  <c r="GW33" i="13"/>
  <c r="GY33" i="13"/>
  <c r="GX33" i="13"/>
  <c r="GZ33" i="13"/>
  <c r="GU34" i="13"/>
  <c r="D41" i="21" l="1"/>
  <c r="B41" i="21"/>
  <c r="HH32" i="13"/>
  <c r="HI32" i="13"/>
  <c r="HF33" i="13"/>
  <c r="HG33" i="13" s="1"/>
  <c r="HH29" i="13"/>
  <c r="A42" i="21"/>
  <c r="GW34" i="13"/>
  <c r="GY34" i="13"/>
  <c r="GX34" i="13"/>
  <c r="GZ34" i="13"/>
  <c r="GU35" i="13"/>
  <c r="D42" i="21" l="1"/>
  <c r="B42" i="21"/>
  <c r="HI33" i="13"/>
  <c r="HF34" i="13"/>
  <c r="HG34" i="13" s="1"/>
  <c r="A43" i="21"/>
  <c r="GW35" i="13"/>
  <c r="GY35" i="13"/>
  <c r="GX35" i="13"/>
  <c r="GZ35" i="13"/>
  <c r="GU36" i="13"/>
  <c r="B43" i="21" l="1"/>
  <c r="D43" i="21"/>
  <c r="HH34" i="13"/>
  <c r="HI34" i="13"/>
  <c r="HF35" i="13"/>
  <c r="HG35" i="13" s="1"/>
  <c r="HH33" i="13"/>
  <c r="A44" i="21"/>
  <c r="GU37" i="13"/>
  <c r="GW36" i="13"/>
  <c r="GY36" i="13"/>
  <c r="GX36" i="13"/>
  <c r="GZ36" i="13"/>
  <c r="D44" i="21" l="1"/>
  <c r="B44" i="21"/>
  <c r="HI35" i="13"/>
  <c r="HF36" i="13"/>
  <c r="HG36" i="13" s="1"/>
  <c r="A45" i="21"/>
  <c r="GU38" i="13"/>
  <c r="GW37" i="13"/>
  <c r="GY37" i="13"/>
  <c r="GX37" i="13"/>
  <c r="GZ37" i="13"/>
  <c r="D45" i="21" l="1"/>
  <c r="B45" i="21"/>
  <c r="HH36" i="13"/>
  <c r="HI36" i="13"/>
  <c r="HF37" i="13"/>
  <c r="HG37" i="13" s="1"/>
  <c r="HH35" i="13"/>
  <c r="A46" i="21"/>
  <c r="GU39" i="13"/>
  <c r="GW38" i="13"/>
  <c r="GY38" i="13"/>
  <c r="GX38" i="13"/>
  <c r="GZ38" i="13"/>
  <c r="B46" i="21" l="1"/>
  <c r="D46" i="21"/>
  <c r="HI37" i="13"/>
  <c r="HF38" i="13"/>
  <c r="HG38" i="13" s="1"/>
  <c r="A47" i="21"/>
  <c r="GU40" i="13"/>
  <c r="GW39" i="13"/>
  <c r="GY39" i="13"/>
  <c r="GX39" i="13"/>
  <c r="GZ39" i="13"/>
  <c r="D47" i="21" l="1"/>
  <c r="B47" i="21"/>
  <c r="HH38" i="13"/>
  <c r="HI38" i="13"/>
  <c r="HF39" i="13"/>
  <c r="HG39" i="13" s="1"/>
  <c r="HH37" i="13"/>
  <c r="A48" i="21"/>
  <c r="GU41" i="13"/>
  <c r="GW40" i="13"/>
  <c r="GY40" i="13"/>
  <c r="GX40" i="13"/>
  <c r="GZ40" i="13"/>
  <c r="D48" i="21" l="1"/>
  <c r="B48" i="21"/>
  <c r="HI39" i="13"/>
  <c r="HF40" i="13"/>
  <c r="HG40" i="13" s="1"/>
  <c r="A49" i="21"/>
  <c r="GU42" i="13"/>
  <c r="GW41" i="13"/>
  <c r="GY41" i="13"/>
  <c r="GX41" i="13"/>
  <c r="GZ41" i="13"/>
  <c r="D49" i="21" l="1"/>
  <c r="B49" i="21"/>
  <c r="HH40" i="13"/>
  <c r="HI40" i="13"/>
  <c r="HF41" i="13"/>
  <c r="HG41" i="13" s="1"/>
  <c r="HH39" i="13"/>
  <c r="A50" i="21"/>
  <c r="GU43" i="13"/>
  <c r="GW42" i="13"/>
  <c r="GY42" i="13"/>
  <c r="GX42" i="13"/>
  <c r="GZ42" i="13"/>
  <c r="B50" i="21" l="1"/>
  <c r="D50" i="21"/>
  <c r="HH41" i="13"/>
  <c r="HI41" i="13"/>
  <c r="HF42" i="13"/>
  <c r="HG42" i="13" s="1"/>
  <c r="A51" i="21"/>
  <c r="GU44" i="13"/>
  <c r="GW43" i="13"/>
  <c r="GY43" i="13"/>
  <c r="GX43" i="13"/>
  <c r="GZ43" i="13"/>
  <c r="B51" i="21" l="1"/>
  <c r="D51" i="21"/>
  <c r="HH42" i="13"/>
  <c r="HI42" i="13"/>
  <c r="HF43" i="13"/>
  <c r="HG43" i="13" s="1"/>
  <c r="A52" i="21"/>
  <c r="GU45" i="13"/>
  <c r="GW44" i="13"/>
  <c r="GY44" i="13"/>
  <c r="GX44" i="13"/>
  <c r="GZ44" i="13"/>
  <c r="D52" i="21" l="1"/>
  <c r="B52" i="21"/>
  <c r="HH43" i="13"/>
  <c r="HI43" i="13"/>
  <c r="HF44" i="13"/>
  <c r="HG44" i="13" s="1"/>
  <c r="A53" i="21"/>
  <c r="GU46" i="13"/>
  <c r="GW45" i="13"/>
  <c r="GY45" i="13"/>
  <c r="GX45" i="13"/>
  <c r="GZ45" i="13"/>
  <c r="B53" i="21" l="1"/>
  <c r="D53" i="21"/>
  <c r="HH44" i="13"/>
  <c r="HI44" i="13"/>
  <c r="HF45" i="13"/>
  <c r="HG45" i="13" s="1"/>
  <c r="A54" i="21"/>
  <c r="GU47" i="13"/>
  <c r="GW46" i="13"/>
  <c r="GY46" i="13"/>
  <c r="GX46" i="13"/>
  <c r="GZ46" i="13"/>
  <c r="D54" i="21" l="1"/>
  <c r="B54" i="21"/>
  <c r="HH45" i="13"/>
  <c r="HI45" i="13"/>
  <c r="HF46" i="13"/>
  <c r="HG46" i="13" s="1"/>
  <c r="A55" i="21"/>
  <c r="GU48" i="13"/>
  <c r="GW47" i="13"/>
  <c r="GY47" i="13"/>
  <c r="GX47" i="13"/>
  <c r="GZ47" i="13"/>
  <c r="B55" i="21" l="1"/>
  <c r="D55" i="21"/>
  <c r="HH46" i="13"/>
  <c r="HI46" i="13"/>
  <c r="HF47" i="13"/>
  <c r="HG47" i="13" s="1"/>
  <c r="A56" i="21"/>
  <c r="GU49" i="13"/>
  <c r="GW48" i="13"/>
  <c r="GY48" i="13"/>
  <c r="GX48" i="13"/>
  <c r="GZ48" i="13"/>
  <c r="B56" i="21" l="1"/>
  <c r="D56" i="21"/>
  <c r="HH47" i="13"/>
  <c r="HI47" i="13"/>
  <c r="HF48" i="13"/>
  <c r="HG48" i="13" s="1"/>
  <c r="A57" i="21"/>
  <c r="GU50" i="13"/>
  <c r="GW49" i="13"/>
  <c r="GY49" i="13"/>
  <c r="GX49" i="13"/>
  <c r="GZ49" i="13"/>
  <c r="D57" i="21" l="1"/>
  <c r="B57" i="21"/>
  <c r="HH48" i="13"/>
  <c r="HI48" i="13"/>
  <c r="HF49" i="13"/>
  <c r="HG49" i="13" s="1"/>
  <c r="A58" i="21"/>
  <c r="GU51" i="13"/>
  <c r="GW50" i="13"/>
  <c r="GY50" i="13"/>
  <c r="GX50" i="13"/>
  <c r="GZ50" i="13"/>
  <c r="D58" i="21" l="1"/>
  <c r="B58" i="21"/>
  <c r="HH49" i="13"/>
  <c r="HI49" i="13"/>
  <c r="HF50" i="13"/>
  <c r="HG50" i="13" s="1"/>
  <c r="A59" i="21"/>
  <c r="GU52" i="13"/>
  <c r="GW51" i="13"/>
  <c r="GY51" i="13"/>
  <c r="GX51" i="13"/>
  <c r="GZ51" i="13"/>
  <c r="D59" i="21" l="1"/>
  <c r="B59" i="21"/>
  <c r="HH50" i="13"/>
  <c r="HI50" i="13"/>
  <c r="HF51" i="13"/>
  <c r="HG51" i="13" s="1"/>
  <c r="A60" i="21"/>
  <c r="GU53" i="13"/>
  <c r="GW52" i="13"/>
  <c r="GY52" i="13"/>
  <c r="GX52" i="13"/>
  <c r="GZ52" i="13"/>
  <c r="B60" i="21" l="1"/>
  <c r="D60" i="21"/>
  <c r="HH51" i="13"/>
  <c r="HI51" i="13"/>
  <c r="HF52" i="13"/>
  <c r="HG52" i="13" s="1"/>
  <c r="A61" i="21"/>
  <c r="GU54" i="13"/>
  <c r="GW53" i="13"/>
  <c r="GY53" i="13"/>
  <c r="GX53" i="13"/>
  <c r="GZ53" i="13"/>
  <c r="B61" i="21" l="1"/>
  <c r="D61" i="21"/>
  <c r="HH52" i="13"/>
  <c r="HI52" i="13"/>
  <c r="HF53" i="13"/>
  <c r="HG53" i="13" s="1"/>
  <c r="A62" i="21"/>
  <c r="GU55" i="13"/>
  <c r="GW54" i="13"/>
  <c r="GY54" i="13"/>
  <c r="GX54" i="13"/>
  <c r="GZ54" i="13"/>
  <c r="D62" i="21" l="1"/>
  <c r="B62" i="21"/>
  <c r="HH53" i="13"/>
  <c r="HI53" i="13"/>
  <c r="HF54" i="13"/>
  <c r="HG54" i="13" s="1"/>
  <c r="A63" i="21"/>
  <c r="GU56" i="13"/>
  <c r="GW55" i="13"/>
  <c r="GY55" i="13"/>
  <c r="GX55" i="13"/>
  <c r="GZ55" i="13"/>
  <c r="B63" i="21" l="1"/>
  <c r="D63" i="21"/>
  <c r="HH54" i="13"/>
  <c r="HI54" i="13"/>
  <c r="HF55" i="13"/>
  <c r="HG55" i="13" s="1"/>
  <c r="A64" i="21"/>
  <c r="GU57" i="13"/>
  <c r="GW56" i="13"/>
  <c r="GY56" i="13"/>
  <c r="GX56" i="13"/>
  <c r="GZ56" i="13"/>
  <c r="D64" i="21" l="1"/>
  <c r="B64" i="21"/>
  <c r="HH55" i="13"/>
  <c r="HI55" i="13"/>
  <c r="HF56" i="13"/>
  <c r="HG56" i="13" s="1"/>
  <c r="A65" i="21"/>
  <c r="GU58" i="13"/>
  <c r="GW57" i="13"/>
  <c r="GY57" i="13"/>
  <c r="GX57" i="13"/>
  <c r="GZ57" i="13"/>
  <c r="D65" i="21" l="1"/>
  <c r="B65" i="21"/>
  <c r="HH56" i="13"/>
  <c r="HI56" i="13"/>
  <c r="HF57" i="13"/>
  <c r="HG57" i="13" s="1"/>
  <c r="A66" i="21"/>
  <c r="GU59" i="13"/>
  <c r="GW58" i="13"/>
  <c r="GY58" i="13"/>
  <c r="GX58" i="13"/>
  <c r="GZ58" i="13"/>
  <c r="B66" i="21" l="1"/>
  <c r="D66" i="21"/>
  <c r="HH57" i="13"/>
  <c r="HI57" i="13"/>
  <c r="HF58" i="13"/>
  <c r="HG58" i="13" s="1"/>
  <c r="A67" i="21"/>
  <c r="GU60" i="13"/>
  <c r="GW59" i="13"/>
  <c r="GY59" i="13"/>
  <c r="GX59" i="13"/>
  <c r="GZ59" i="13"/>
  <c r="B67" i="21" l="1"/>
  <c r="D67" i="21"/>
  <c r="HH58" i="13"/>
  <c r="HI58" i="13"/>
  <c r="HF59" i="13"/>
  <c r="HG59" i="13" s="1"/>
  <c r="A68" i="21"/>
  <c r="GU61" i="13"/>
  <c r="GW60" i="13"/>
  <c r="GY60" i="13"/>
  <c r="GX60" i="13"/>
  <c r="GZ60" i="13"/>
  <c r="B68" i="21" l="1"/>
  <c r="D68" i="21"/>
  <c r="HH59" i="13"/>
  <c r="HI59" i="13"/>
  <c r="HF60" i="13"/>
  <c r="HG60" i="13" s="1"/>
  <c r="A69" i="21"/>
  <c r="GU62" i="13"/>
  <c r="GW61" i="13"/>
  <c r="GY61" i="13"/>
  <c r="GX61" i="13"/>
  <c r="GZ61" i="13"/>
  <c r="D69" i="21" l="1"/>
  <c r="B69" i="21"/>
  <c r="HH60" i="13"/>
  <c r="HI60" i="13"/>
  <c r="HF61" i="13"/>
  <c r="HG61" i="13" s="1"/>
  <c r="A70" i="21"/>
  <c r="GU63" i="13"/>
  <c r="GW62" i="13"/>
  <c r="GY62" i="13"/>
  <c r="GX62" i="13"/>
  <c r="GZ62" i="13"/>
  <c r="B70" i="21" l="1"/>
  <c r="D70" i="21"/>
  <c r="HH61" i="13"/>
  <c r="HI61" i="13"/>
  <c r="HF62" i="13"/>
  <c r="HG62" i="13" s="1"/>
  <c r="A71" i="21"/>
  <c r="GU64" i="13"/>
  <c r="GW63" i="13"/>
  <c r="GY63" i="13"/>
  <c r="GX63" i="13"/>
  <c r="GZ63" i="13"/>
  <c r="D71" i="21" l="1"/>
  <c r="B71" i="21"/>
  <c r="HH62" i="13"/>
  <c r="HI62" i="13"/>
  <c r="HF63" i="13"/>
  <c r="HG63" i="13" s="1"/>
  <c r="A72" i="21"/>
  <c r="GU65" i="13"/>
  <c r="GW64" i="13"/>
  <c r="GY64" i="13"/>
  <c r="GX64" i="13"/>
  <c r="GZ64" i="13"/>
  <c r="B72" i="21" l="1"/>
  <c r="D72" i="21"/>
  <c r="HH63" i="13"/>
  <c r="HI63" i="13"/>
  <c r="HF64" i="13"/>
  <c r="HG64" i="13" s="1"/>
  <c r="A73" i="21"/>
  <c r="GU66" i="13"/>
  <c r="GW65" i="13"/>
  <c r="GY65" i="13"/>
  <c r="GX65" i="13"/>
  <c r="GZ65" i="13"/>
  <c r="B73" i="21" l="1"/>
  <c r="D73" i="21"/>
  <c r="HH64" i="13"/>
  <c r="HI64" i="13"/>
  <c r="HF65" i="13"/>
  <c r="HG65" i="13" s="1"/>
  <c r="A74" i="21"/>
  <c r="GU67" i="13"/>
  <c r="GW66" i="13"/>
  <c r="GY66" i="13"/>
  <c r="GX66" i="13"/>
  <c r="GZ66" i="13"/>
  <c r="B74" i="21" l="1"/>
  <c r="D74" i="21"/>
  <c r="HH65" i="13"/>
  <c r="HI65" i="13"/>
  <c r="HF66" i="13"/>
  <c r="HG66" i="13" s="1"/>
  <c r="A75" i="21"/>
  <c r="GU68" i="13"/>
  <c r="GW67" i="13"/>
  <c r="GY67" i="13"/>
  <c r="GX67" i="13"/>
  <c r="GZ67" i="13"/>
  <c r="B75" i="21" l="1"/>
  <c r="D75" i="21"/>
  <c r="HH66" i="13"/>
  <c r="HI66" i="13"/>
  <c r="HF67" i="13"/>
  <c r="HG67" i="13" s="1"/>
  <c r="A76" i="21"/>
  <c r="GU69" i="13"/>
  <c r="GW68" i="13"/>
  <c r="GY68" i="13"/>
  <c r="GX68" i="13"/>
  <c r="GZ68" i="13"/>
  <c r="D76" i="21" l="1"/>
  <c r="B76" i="21"/>
  <c r="HH67" i="13"/>
  <c r="HI67" i="13"/>
  <c r="HF68" i="13"/>
  <c r="HG68" i="13" s="1"/>
  <c r="A77" i="21"/>
  <c r="GU70" i="13"/>
  <c r="GW69" i="13"/>
  <c r="GY69" i="13"/>
  <c r="GX69" i="13"/>
  <c r="GZ69" i="13"/>
  <c r="B77" i="21" l="1"/>
  <c r="D77" i="21"/>
  <c r="HH68" i="13"/>
  <c r="HI68" i="13"/>
  <c r="HF69" i="13"/>
  <c r="HG69" i="13" s="1"/>
  <c r="A78" i="21"/>
  <c r="GU71" i="13"/>
  <c r="GW70" i="13"/>
  <c r="GY70" i="13"/>
  <c r="GX70" i="13"/>
  <c r="GZ70" i="13"/>
  <c r="D78" i="21" l="1"/>
  <c r="B78" i="21"/>
  <c r="HH69" i="13"/>
  <c r="HI69" i="13"/>
  <c r="HF70" i="13"/>
  <c r="HG70" i="13" s="1"/>
  <c r="A79" i="21"/>
  <c r="GU72" i="13"/>
  <c r="GW71" i="13"/>
  <c r="GY71" i="13"/>
  <c r="GX71" i="13"/>
  <c r="GZ71" i="13"/>
  <c r="B79" i="21" l="1"/>
  <c r="D79" i="21"/>
  <c r="HH70" i="13"/>
  <c r="HI70" i="13"/>
  <c r="HF71" i="13"/>
  <c r="HG71" i="13" s="1"/>
  <c r="A80" i="21"/>
  <c r="GU73" i="13"/>
  <c r="GW72" i="13"/>
  <c r="GY72" i="13"/>
  <c r="GX72" i="13"/>
  <c r="GZ72" i="13"/>
  <c r="D80" i="21" l="1"/>
  <c r="B80" i="21"/>
  <c r="HH71" i="13"/>
  <c r="HI71" i="13"/>
  <c r="HF72" i="13"/>
  <c r="HG72" i="13" s="1"/>
  <c r="A81" i="21"/>
  <c r="GU74" i="13"/>
  <c r="GW73" i="13"/>
  <c r="GY73" i="13"/>
  <c r="GX73" i="13"/>
  <c r="GZ73" i="13"/>
  <c r="B81" i="21" l="1"/>
  <c r="D81" i="21"/>
  <c r="HH72" i="13"/>
  <c r="HI72" i="13"/>
  <c r="HF73" i="13"/>
  <c r="HG73" i="13" s="1"/>
  <c r="A82" i="21"/>
  <c r="GU75" i="13"/>
  <c r="GW74" i="13"/>
  <c r="GY74" i="13"/>
  <c r="GX74" i="13"/>
  <c r="GZ74" i="13"/>
  <c r="B82" i="21" l="1"/>
  <c r="D82" i="21"/>
  <c r="HH73" i="13"/>
  <c r="HI73" i="13"/>
  <c r="HF74" i="13"/>
  <c r="HG74" i="13" s="1"/>
  <c r="A83" i="21"/>
  <c r="GU76" i="13"/>
  <c r="GW75" i="13"/>
  <c r="GY75" i="13"/>
  <c r="GX75" i="13"/>
  <c r="GZ75" i="13"/>
  <c r="D83" i="21" l="1"/>
  <c r="B83" i="21"/>
  <c r="HH74" i="13"/>
  <c r="HI74" i="13"/>
  <c r="HF75" i="13"/>
  <c r="HG75" i="13" s="1"/>
  <c r="A84" i="21"/>
  <c r="GU77" i="13"/>
  <c r="GW76" i="13"/>
  <c r="GY76" i="13"/>
  <c r="GX76" i="13"/>
  <c r="GZ76" i="13"/>
  <c r="D84" i="21" l="1"/>
  <c r="B84" i="21"/>
  <c r="HH75" i="13"/>
  <c r="HI75" i="13"/>
  <c r="HF76" i="13"/>
  <c r="HG76" i="13" s="1"/>
  <c r="A85" i="21"/>
  <c r="GU78" i="13"/>
  <c r="GW77" i="13"/>
  <c r="GY77" i="13"/>
  <c r="GX77" i="13"/>
  <c r="GZ77" i="13"/>
  <c r="D85" i="21" l="1"/>
  <c r="B85" i="21"/>
  <c r="HH76" i="13"/>
  <c r="HI76" i="13"/>
  <c r="HF77" i="13"/>
  <c r="HG77" i="13" s="1"/>
  <c r="A86" i="21"/>
  <c r="GU79" i="13"/>
  <c r="GW78" i="13"/>
  <c r="GY78" i="13"/>
  <c r="GX78" i="13"/>
  <c r="GZ78" i="13"/>
  <c r="D86" i="21" l="1"/>
  <c r="B86" i="21"/>
  <c r="HH77" i="13"/>
  <c r="HI77" i="13"/>
  <c r="HF78" i="13"/>
  <c r="HG78" i="13" s="1"/>
  <c r="A87" i="21"/>
  <c r="GU80" i="13"/>
  <c r="GW79" i="13"/>
  <c r="GY79" i="13"/>
  <c r="GX79" i="13"/>
  <c r="GZ79" i="13"/>
  <c r="B87" i="21" l="1"/>
  <c r="D87" i="21"/>
  <c r="HH78" i="13"/>
  <c r="HI78" i="13"/>
  <c r="HF79" i="13"/>
  <c r="HG79" i="13" s="1"/>
  <c r="A88" i="21"/>
  <c r="GU81" i="13"/>
  <c r="GW80" i="13"/>
  <c r="GY80" i="13"/>
  <c r="GX80" i="13"/>
  <c r="GZ80" i="13"/>
  <c r="D88" i="21" l="1"/>
  <c r="B88" i="21"/>
  <c r="HH79" i="13"/>
  <c r="HI79" i="13"/>
  <c r="HF80" i="13"/>
  <c r="HG80" i="13" s="1"/>
  <c r="A89" i="21"/>
  <c r="GU82" i="13"/>
  <c r="GW81" i="13"/>
  <c r="GY81" i="13"/>
  <c r="GX81" i="13"/>
  <c r="GZ81" i="13"/>
  <c r="B89" i="21" l="1"/>
  <c r="D89" i="21"/>
  <c r="HH80" i="13"/>
  <c r="HI80" i="13"/>
  <c r="HF81" i="13"/>
  <c r="HG81" i="13" s="1"/>
  <c r="A90" i="21"/>
  <c r="GU83" i="13"/>
  <c r="GW82" i="13"/>
  <c r="GY82" i="13"/>
  <c r="GX82" i="13"/>
  <c r="GZ82" i="13"/>
  <c r="D90" i="21" l="1"/>
  <c r="B90" i="21"/>
  <c r="HH81" i="13"/>
  <c r="HI81" i="13"/>
  <c r="HF82" i="13"/>
  <c r="HG82" i="13" s="1"/>
  <c r="A91" i="21"/>
  <c r="GU84" i="13"/>
  <c r="GW83" i="13"/>
  <c r="GY83" i="13"/>
  <c r="GX83" i="13"/>
  <c r="GZ83" i="13"/>
  <c r="D91" i="21" l="1"/>
  <c r="B91" i="21"/>
  <c r="HH82" i="13"/>
  <c r="HI82" i="13"/>
  <c r="HF83" i="13"/>
  <c r="HG83" i="13" s="1"/>
  <c r="A92" i="21"/>
  <c r="GU85" i="13"/>
  <c r="GW84" i="13"/>
  <c r="GY84" i="13"/>
  <c r="GX84" i="13"/>
  <c r="GZ84" i="13"/>
  <c r="B92" i="21" l="1"/>
  <c r="D92" i="21"/>
  <c r="HH83" i="13"/>
  <c r="HI83" i="13"/>
  <c r="HF84" i="13"/>
  <c r="HG84" i="13" s="1"/>
  <c r="A93" i="21"/>
  <c r="GU86" i="13"/>
  <c r="GW85" i="13"/>
  <c r="GY85" i="13"/>
  <c r="GX85" i="13"/>
  <c r="GZ85" i="13"/>
  <c r="B93" i="21" l="1"/>
  <c r="D93" i="21"/>
  <c r="HH84" i="13"/>
  <c r="HI84" i="13"/>
  <c r="HF85" i="13"/>
  <c r="HG85" i="13" s="1"/>
  <c r="A94" i="21"/>
  <c r="GU87" i="13"/>
  <c r="GW86" i="13"/>
  <c r="GY86" i="13"/>
  <c r="GX86" i="13"/>
  <c r="GZ86" i="13"/>
  <c r="D94" i="21" l="1"/>
  <c r="B94" i="21"/>
  <c r="HH85" i="13"/>
  <c r="HI85" i="13"/>
  <c r="HF86" i="13"/>
  <c r="HG86" i="13" s="1"/>
  <c r="A95" i="21"/>
  <c r="GU88" i="13"/>
  <c r="GW87" i="13"/>
  <c r="GY87" i="13"/>
  <c r="GX87" i="13"/>
  <c r="GZ87" i="13"/>
  <c r="B95" i="21" l="1"/>
  <c r="D95" i="21"/>
  <c r="HH86" i="13"/>
  <c r="HI86" i="13"/>
  <c r="HF87" i="13"/>
  <c r="HG87" i="13" s="1"/>
  <c r="A96" i="21"/>
  <c r="GU89" i="13"/>
  <c r="GW88" i="13"/>
  <c r="GY88" i="13"/>
  <c r="GX88" i="13"/>
  <c r="GZ88" i="13"/>
  <c r="B96" i="21" l="1"/>
  <c r="D96" i="21"/>
  <c r="HH87" i="13"/>
  <c r="HI87" i="13"/>
  <c r="HF88" i="13"/>
  <c r="HG88" i="13" s="1"/>
  <c r="A97" i="21"/>
  <c r="GU90" i="13"/>
  <c r="GW89" i="13"/>
  <c r="GY89" i="13"/>
  <c r="GX89" i="13"/>
  <c r="GZ89" i="13"/>
  <c r="B97" i="21" l="1"/>
  <c r="D97" i="21"/>
  <c r="HH88" i="13"/>
  <c r="HI88" i="13"/>
  <c r="HF89" i="13"/>
  <c r="HG89" i="13" s="1"/>
  <c r="A98" i="21"/>
  <c r="GU91" i="13"/>
  <c r="GW90" i="13"/>
  <c r="GY90" i="13"/>
  <c r="GX90" i="13"/>
  <c r="GZ90" i="13"/>
  <c r="D98" i="21" l="1"/>
  <c r="B98" i="21"/>
  <c r="HH89" i="13"/>
  <c r="HI89" i="13"/>
  <c r="HF90" i="13"/>
  <c r="HG90" i="13" s="1"/>
  <c r="A99" i="21"/>
  <c r="GU92" i="13"/>
  <c r="GW91" i="13"/>
  <c r="GY91" i="13"/>
  <c r="GX91" i="13"/>
  <c r="GZ91" i="13"/>
  <c r="B99" i="21" l="1"/>
  <c r="D99" i="21"/>
  <c r="HH90" i="13"/>
  <c r="HI90" i="13"/>
  <c r="HF91" i="13"/>
  <c r="HG91" i="13" s="1"/>
  <c r="A100" i="21"/>
  <c r="GU93" i="13"/>
  <c r="GW92" i="13"/>
  <c r="GY92" i="13"/>
  <c r="GX92" i="13"/>
  <c r="GZ92" i="13"/>
  <c r="D100" i="21" l="1"/>
  <c r="B100" i="21"/>
  <c r="HH91" i="13"/>
  <c r="HI91" i="13"/>
  <c r="HF92" i="13"/>
  <c r="HG92" i="13" s="1"/>
  <c r="A101" i="21"/>
  <c r="GU94" i="13"/>
  <c r="GW93" i="13"/>
  <c r="GY93" i="13"/>
  <c r="GX93" i="13"/>
  <c r="GZ93" i="13"/>
  <c r="B101" i="21" l="1"/>
  <c r="D101" i="21"/>
  <c r="HH92" i="13"/>
  <c r="HI92" i="13"/>
  <c r="HF93" i="13"/>
  <c r="HG93" i="13" s="1"/>
  <c r="A102" i="21"/>
  <c r="GU95" i="13"/>
  <c r="GW94" i="13"/>
  <c r="GY94" i="13"/>
  <c r="GX94" i="13"/>
  <c r="GZ94" i="13"/>
  <c r="D102" i="21" l="1"/>
  <c r="B102" i="21"/>
  <c r="HH93" i="13"/>
  <c r="HI93" i="13"/>
  <c r="HF94" i="13"/>
  <c r="HG94" i="13" s="1"/>
  <c r="A103" i="21"/>
  <c r="GU96" i="13"/>
  <c r="GW95" i="13"/>
  <c r="GY95" i="13"/>
  <c r="GX95" i="13"/>
  <c r="GZ95" i="13"/>
  <c r="D103" i="21" l="1"/>
  <c r="B103" i="21"/>
  <c r="HH94" i="13"/>
  <c r="HI94" i="13"/>
  <c r="HF95" i="13"/>
  <c r="HG95" i="13" s="1"/>
  <c r="A104" i="21"/>
  <c r="GU97" i="13"/>
  <c r="GW96" i="13"/>
  <c r="GY96" i="13"/>
  <c r="GX96" i="13"/>
  <c r="GZ96" i="13"/>
  <c r="B104" i="21" l="1"/>
  <c r="D104" i="21"/>
  <c r="HH95" i="13"/>
  <c r="HI95" i="13"/>
  <c r="HF96" i="13"/>
  <c r="HG96" i="13" s="1"/>
  <c r="A105" i="21"/>
  <c r="GU98" i="13"/>
  <c r="GW97" i="13"/>
  <c r="GY97" i="13"/>
  <c r="GX97" i="13"/>
  <c r="GZ97" i="13"/>
  <c r="B105" i="21" l="1"/>
  <c r="D105" i="21"/>
  <c r="HH96" i="13"/>
  <c r="HI96" i="13"/>
  <c r="HF97" i="13"/>
  <c r="HG97" i="13" s="1"/>
  <c r="A106" i="21"/>
  <c r="GU99" i="13"/>
  <c r="GW98" i="13"/>
  <c r="GY98" i="13"/>
  <c r="GX98" i="13"/>
  <c r="GZ98" i="13"/>
  <c r="B106" i="21" l="1"/>
  <c r="D106" i="21"/>
  <c r="HH97" i="13"/>
  <c r="HI97" i="13"/>
  <c r="HF98" i="13"/>
  <c r="HG98" i="13" s="1"/>
  <c r="A107" i="21"/>
  <c r="GU100" i="13"/>
  <c r="GW99" i="13"/>
  <c r="GY99" i="13"/>
  <c r="GX99" i="13"/>
  <c r="GZ99" i="13"/>
  <c r="D107" i="21" l="1"/>
  <c r="B107" i="21"/>
  <c r="HH98" i="13"/>
  <c r="HI98" i="13"/>
  <c r="HF99" i="13"/>
  <c r="HG99" i="13" s="1"/>
  <c r="A108" i="21"/>
  <c r="GU101" i="13"/>
  <c r="GW100" i="13"/>
  <c r="GY100" i="13"/>
  <c r="GX100" i="13"/>
  <c r="GZ100" i="13"/>
  <c r="D108" i="21" l="1"/>
  <c r="B108" i="21"/>
  <c r="HH99" i="13"/>
  <c r="HI99" i="13"/>
  <c r="HF100" i="13"/>
  <c r="HG100" i="13" s="1"/>
  <c r="A109" i="21"/>
  <c r="GU102" i="13"/>
  <c r="GW101" i="13"/>
  <c r="GY101" i="13"/>
  <c r="GX101" i="13"/>
  <c r="GZ101" i="13"/>
  <c r="D109" i="21" l="1"/>
  <c r="B109" i="21"/>
  <c r="HH100" i="13"/>
  <c r="HI100" i="13"/>
  <c r="HF101" i="13"/>
  <c r="HG101" i="13" s="1"/>
  <c r="A110" i="21"/>
  <c r="GU103" i="13"/>
  <c r="GW102" i="13"/>
  <c r="GY102" i="13"/>
  <c r="GX102" i="13"/>
  <c r="GZ102" i="13"/>
  <c r="B110" i="21" l="1"/>
  <c r="D110" i="21"/>
  <c r="HH101" i="13"/>
  <c r="HI101" i="13"/>
  <c r="HF102" i="13"/>
  <c r="HG102" i="13" s="1"/>
  <c r="A111" i="21"/>
  <c r="GU104" i="13"/>
  <c r="GW103" i="13"/>
  <c r="GY103" i="13"/>
  <c r="GX103" i="13"/>
  <c r="GZ103" i="13"/>
  <c r="B111" i="21" l="1"/>
  <c r="D111" i="21"/>
  <c r="HH102" i="13"/>
  <c r="HI102" i="13"/>
  <c r="HF103" i="13"/>
  <c r="HG103" i="13" s="1"/>
  <c r="A112" i="21"/>
  <c r="GU105" i="13"/>
  <c r="GW104" i="13"/>
  <c r="GY104" i="13"/>
  <c r="GX104" i="13"/>
  <c r="GZ104" i="13"/>
  <c r="B112" i="21" l="1"/>
  <c r="D112" i="21"/>
  <c r="HH103" i="13"/>
  <c r="HI103" i="13"/>
  <c r="HF104" i="13"/>
  <c r="HG104" i="13" s="1"/>
  <c r="A113" i="21"/>
  <c r="GU106" i="13"/>
  <c r="GW105" i="13"/>
  <c r="GY105" i="13"/>
  <c r="GX105" i="13"/>
  <c r="GZ105" i="13"/>
  <c r="D113" i="21" l="1"/>
  <c r="B113" i="21"/>
  <c r="HH104" i="13"/>
  <c r="HI104" i="13"/>
  <c r="HF105" i="13"/>
  <c r="HG105" i="13" s="1"/>
  <c r="A114" i="21"/>
  <c r="GU107" i="13"/>
  <c r="GW106" i="13"/>
  <c r="GY106" i="13"/>
  <c r="GX106" i="13"/>
  <c r="GZ106" i="13"/>
  <c r="B114" i="21" l="1"/>
  <c r="D114" i="21"/>
  <c r="HH105" i="13"/>
  <c r="HI105" i="13"/>
  <c r="HF106" i="13"/>
  <c r="HG106" i="13" s="1"/>
  <c r="A115" i="21"/>
  <c r="GU108" i="13"/>
  <c r="GW107" i="13"/>
  <c r="GY107" i="13"/>
  <c r="GX107" i="13"/>
  <c r="GZ107" i="13"/>
  <c r="D115" i="21" l="1"/>
  <c r="B115" i="21"/>
  <c r="HH106" i="13"/>
  <c r="HI106" i="13"/>
  <c r="HF107" i="13"/>
  <c r="HG107" i="13" s="1"/>
  <c r="A116" i="21"/>
  <c r="GU109" i="13"/>
  <c r="GW108" i="13"/>
  <c r="GY108" i="13"/>
  <c r="GX108" i="13"/>
  <c r="GZ108" i="13"/>
  <c r="B116" i="21" l="1"/>
  <c r="D116" i="21"/>
  <c r="HH107" i="13"/>
  <c r="HI107" i="13"/>
  <c r="HF108" i="13"/>
  <c r="HG108" i="13" s="1"/>
  <c r="A117" i="21"/>
  <c r="GU110" i="13"/>
  <c r="GW109" i="13"/>
  <c r="GY109" i="13"/>
  <c r="GX109" i="13"/>
  <c r="GZ109" i="13"/>
  <c r="D117" i="21" l="1"/>
  <c r="B117" i="21"/>
  <c r="HH108" i="13"/>
  <c r="HI108" i="13"/>
  <c r="HF109" i="13"/>
  <c r="HG109" i="13" s="1"/>
  <c r="A118" i="21"/>
  <c r="GU111" i="13"/>
  <c r="GW110" i="13"/>
  <c r="GY110" i="13"/>
  <c r="GX110" i="13"/>
  <c r="GZ110" i="13"/>
  <c r="D118" i="21" l="1"/>
  <c r="B118" i="21"/>
  <c r="HH109" i="13"/>
  <c r="HI109" i="13"/>
  <c r="HF110" i="13"/>
  <c r="HG110" i="13" s="1"/>
  <c r="A119" i="21"/>
  <c r="GU112" i="13"/>
  <c r="GW111" i="13"/>
  <c r="GY111" i="13"/>
  <c r="GX111" i="13"/>
  <c r="GZ111" i="13"/>
  <c r="B119" i="21" l="1"/>
  <c r="D119" i="21"/>
  <c r="HH110" i="13"/>
  <c r="HI110" i="13"/>
  <c r="HF111" i="13"/>
  <c r="HG111" i="13" s="1"/>
  <c r="A120" i="21"/>
  <c r="GU113" i="13"/>
  <c r="GW112" i="13"/>
  <c r="GY112" i="13"/>
  <c r="GX112" i="13"/>
  <c r="GZ112" i="13"/>
  <c r="B120" i="21" l="1"/>
  <c r="D120" i="21"/>
  <c r="HH111" i="13"/>
  <c r="HI111" i="13"/>
  <c r="HF112" i="13"/>
  <c r="HG112" i="13" s="1"/>
  <c r="A121" i="21"/>
  <c r="GU114" i="13"/>
  <c r="GW113" i="13"/>
  <c r="GY113" i="13"/>
  <c r="GX113" i="13"/>
  <c r="GZ113" i="13"/>
  <c r="D121" i="21" l="1"/>
  <c r="B121" i="21"/>
  <c r="HH112" i="13"/>
  <c r="HI112" i="13"/>
  <c r="HF113" i="13"/>
  <c r="HG113" i="13" s="1"/>
  <c r="A122" i="21"/>
  <c r="GU115" i="13"/>
  <c r="GW114" i="13"/>
  <c r="GY114" i="13"/>
  <c r="GX114" i="13"/>
  <c r="GZ114" i="13"/>
  <c r="B122" i="21" l="1"/>
  <c r="D122" i="21"/>
  <c r="HH113" i="13"/>
  <c r="HI113" i="13"/>
  <c r="HF114" i="13"/>
  <c r="HG114" i="13" s="1"/>
  <c r="A123" i="21"/>
  <c r="GU116" i="13"/>
  <c r="GW115" i="13"/>
  <c r="GY115" i="13"/>
  <c r="GX115" i="13"/>
  <c r="GZ115" i="13"/>
  <c r="B123" i="21" l="1"/>
  <c r="D123" i="21"/>
  <c r="HH114" i="13"/>
  <c r="HI114" i="13"/>
  <c r="HF115" i="13"/>
  <c r="HG115" i="13" s="1"/>
  <c r="A124" i="21"/>
  <c r="GU117" i="13"/>
  <c r="GW116" i="13"/>
  <c r="GY116" i="13"/>
  <c r="GX116" i="13"/>
  <c r="GZ116" i="13"/>
  <c r="B124" i="21" l="1"/>
  <c r="D124" i="21"/>
  <c r="HH115" i="13"/>
  <c r="HI115" i="13"/>
  <c r="HF116" i="13"/>
  <c r="HG116" i="13" s="1"/>
  <c r="A125" i="21"/>
  <c r="GU118" i="13"/>
  <c r="GW117" i="13"/>
  <c r="GY117" i="13"/>
  <c r="GX117" i="13"/>
  <c r="GZ117" i="13"/>
  <c r="B125" i="21" l="1"/>
  <c r="D125" i="21"/>
  <c r="HH116" i="13"/>
  <c r="HI116" i="13"/>
  <c r="HF117" i="13"/>
  <c r="HG117" i="13" s="1"/>
  <c r="A126" i="21"/>
  <c r="GU119" i="13"/>
  <c r="GW118" i="13"/>
  <c r="GY118" i="13"/>
  <c r="GX118" i="13"/>
  <c r="GZ118" i="13"/>
  <c r="D126" i="21" l="1"/>
  <c r="B126" i="21"/>
  <c r="HH117" i="13"/>
  <c r="HI117" i="13"/>
  <c r="HF118" i="13"/>
  <c r="HG118" i="13" s="1"/>
  <c r="A127" i="21"/>
  <c r="GU120" i="13"/>
  <c r="GW119" i="13"/>
  <c r="GY119" i="13"/>
  <c r="GX119" i="13"/>
  <c r="GZ119" i="13"/>
  <c r="D127" i="21" l="1"/>
  <c r="B127" i="21"/>
  <c r="HH118" i="13"/>
  <c r="HI118" i="13"/>
  <c r="HF119" i="13"/>
  <c r="HG119" i="13" s="1"/>
  <c r="A128" i="21"/>
  <c r="GU121" i="13"/>
  <c r="GW120" i="13"/>
  <c r="GY120" i="13"/>
  <c r="GX120" i="13"/>
  <c r="GZ120" i="13"/>
  <c r="B128" i="21" l="1"/>
  <c r="D128" i="21"/>
  <c r="HH119" i="13"/>
  <c r="HI119" i="13"/>
  <c r="HF120" i="13"/>
  <c r="HG120" i="13" s="1"/>
  <c r="A129" i="21"/>
  <c r="GW121" i="13"/>
  <c r="GY121" i="13"/>
  <c r="GX121" i="13"/>
  <c r="GZ121" i="13"/>
  <c r="GU122" i="13"/>
  <c r="B129" i="21" l="1"/>
  <c r="D129" i="21"/>
  <c r="HH120" i="13"/>
  <c r="HI120" i="13"/>
  <c r="HF121" i="13"/>
  <c r="HG121" i="13" s="1"/>
  <c r="A130" i="21"/>
  <c r="GU123" i="13"/>
  <c r="GW122" i="13"/>
  <c r="GY122" i="13"/>
  <c r="GX122" i="13"/>
  <c r="GZ122" i="13"/>
  <c r="D130" i="21" l="1"/>
  <c r="B130" i="21"/>
  <c r="HH121" i="13"/>
  <c r="HI121" i="13"/>
  <c r="HF122" i="13"/>
  <c r="HG122" i="13" s="1"/>
  <c r="A131" i="21"/>
  <c r="GU124" i="13"/>
  <c r="GW123" i="13"/>
  <c r="GY123" i="13"/>
  <c r="GX123" i="13"/>
  <c r="GZ123" i="13"/>
  <c r="B131" i="21" l="1"/>
  <c r="D131" i="21"/>
  <c r="HH122" i="13"/>
  <c r="HI122" i="13"/>
  <c r="HF123" i="13"/>
  <c r="HG123" i="13" s="1"/>
  <c r="A132" i="21"/>
  <c r="GU125" i="13"/>
  <c r="GW124" i="13"/>
  <c r="GY124" i="13"/>
  <c r="GX124" i="13"/>
  <c r="GZ124" i="13"/>
  <c r="B132" i="21" l="1"/>
  <c r="D132" i="21"/>
  <c r="HH123" i="13"/>
  <c r="HI123" i="13"/>
  <c r="HF124" i="13"/>
  <c r="HG124" i="13" s="1"/>
  <c r="A133" i="21"/>
  <c r="GU126" i="13"/>
  <c r="GW125" i="13"/>
  <c r="GY125" i="13"/>
  <c r="GX125" i="13"/>
  <c r="GZ125" i="13"/>
  <c r="B133" i="21" l="1"/>
  <c r="D133" i="21"/>
  <c r="HH124" i="13"/>
  <c r="HI124" i="13"/>
  <c r="HF125" i="13"/>
  <c r="HG125" i="13" s="1"/>
  <c r="A134" i="21"/>
  <c r="GU127" i="13"/>
  <c r="GW126" i="13"/>
  <c r="GY126" i="13"/>
  <c r="GX126" i="13"/>
  <c r="GZ126" i="13"/>
  <c r="D134" i="21" l="1"/>
  <c r="B134" i="21"/>
  <c r="HH125" i="13"/>
  <c r="HI125" i="13"/>
  <c r="HF126" i="13"/>
  <c r="HG126" i="13" s="1"/>
  <c r="A135" i="21"/>
  <c r="GU128" i="13"/>
  <c r="GW127" i="13"/>
  <c r="GY127" i="13"/>
  <c r="GX127" i="13"/>
  <c r="GZ127" i="13"/>
  <c r="D135" i="21" l="1"/>
  <c r="B135" i="21"/>
  <c r="HH126" i="13"/>
  <c r="HI126" i="13"/>
  <c r="HF127" i="13"/>
  <c r="HG127" i="13" s="1"/>
  <c r="A136" i="21"/>
  <c r="GU129" i="13"/>
  <c r="GW128" i="13"/>
  <c r="GY128" i="13"/>
  <c r="GX128" i="13"/>
  <c r="GZ128" i="13"/>
  <c r="D136" i="21" l="1"/>
  <c r="B136" i="21"/>
  <c r="HH127" i="13"/>
  <c r="HI127" i="13"/>
  <c r="HF128" i="13"/>
  <c r="HG128" i="13" s="1"/>
  <c r="A137" i="21"/>
  <c r="GU130" i="13"/>
  <c r="GW129" i="13"/>
  <c r="GY129" i="13"/>
  <c r="GX129" i="13"/>
  <c r="GZ129" i="13"/>
  <c r="D137" i="21" l="1"/>
  <c r="B137" i="21"/>
  <c r="HH128" i="13"/>
  <c r="HI128" i="13"/>
  <c r="HF129" i="13"/>
  <c r="HG129" i="13" s="1"/>
  <c r="A138" i="21"/>
  <c r="GU131" i="13"/>
  <c r="GW130" i="13"/>
  <c r="GY130" i="13"/>
  <c r="GX130" i="13"/>
  <c r="GZ130" i="13"/>
  <c r="B138" i="21" l="1"/>
  <c r="D138" i="21"/>
  <c r="HH129" i="13"/>
  <c r="HI129" i="13"/>
  <c r="HF130" i="13"/>
  <c r="HG130" i="13" s="1"/>
  <c r="A139" i="21"/>
  <c r="GU132" i="13"/>
  <c r="GW131" i="13"/>
  <c r="GY131" i="13"/>
  <c r="GX131" i="13"/>
  <c r="GZ131" i="13"/>
  <c r="B139" i="21" l="1"/>
  <c r="D139" i="21"/>
  <c r="HH130" i="13"/>
  <c r="HI130" i="13"/>
  <c r="HF131" i="13"/>
  <c r="HG131" i="13" s="1"/>
  <c r="A140" i="21"/>
  <c r="GU133" i="13"/>
  <c r="GW132" i="13"/>
  <c r="GY132" i="13"/>
  <c r="GX132" i="13"/>
  <c r="GZ132" i="13"/>
  <c r="D140" i="21" l="1"/>
  <c r="B140" i="21"/>
  <c r="HH131" i="13"/>
  <c r="HI131" i="13"/>
  <c r="HF132" i="13"/>
  <c r="HG132" i="13" s="1"/>
  <c r="A141" i="21"/>
  <c r="GU134" i="13"/>
  <c r="GW133" i="13"/>
  <c r="GY133" i="13"/>
  <c r="GX133" i="13"/>
  <c r="GZ133" i="13"/>
  <c r="B141" i="21" l="1"/>
  <c r="D141" i="21"/>
  <c r="HH132" i="13"/>
  <c r="HI132" i="13"/>
  <c r="HF133" i="13"/>
  <c r="HG133" i="13" s="1"/>
  <c r="A142" i="21"/>
  <c r="GU135" i="13"/>
  <c r="GW134" i="13"/>
  <c r="GY134" i="13"/>
  <c r="GX134" i="13"/>
  <c r="GZ134" i="13"/>
  <c r="D142" i="21" l="1"/>
  <c r="B142" i="21"/>
  <c r="HH133" i="13"/>
  <c r="HI133" i="13"/>
  <c r="HF134" i="13"/>
  <c r="HG134" i="13" s="1"/>
  <c r="A143" i="21"/>
  <c r="GU136" i="13"/>
  <c r="GW135" i="13"/>
  <c r="GY135" i="13"/>
  <c r="GX135" i="13"/>
  <c r="GZ135" i="13"/>
  <c r="D143" i="21" l="1"/>
  <c r="B143" i="21"/>
  <c r="HH134" i="13"/>
  <c r="HI134" i="13"/>
  <c r="HF135" i="13"/>
  <c r="HG135" i="13" s="1"/>
  <c r="A144" i="21"/>
  <c r="GU137" i="13"/>
  <c r="GW136" i="13"/>
  <c r="GY136" i="13"/>
  <c r="GX136" i="13"/>
  <c r="GZ136" i="13"/>
  <c r="B144" i="21" l="1"/>
  <c r="D144" i="21"/>
  <c r="HH135" i="13"/>
  <c r="HI135" i="13"/>
  <c r="HF136" i="13"/>
  <c r="HG136" i="13" s="1"/>
  <c r="A145" i="21"/>
  <c r="GU138" i="13"/>
  <c r="GW137" i="13"/>
  <c r="GY137" i="13"/>
  <c r="GX137" i="13"/>
  <c r="GZ137" i="13"/>
  <c r="D145" i="21" l="1"/>
  <c r="B145" i="21"/>
  <c r="HH136" i="13"/>
  <c r="HI136" i="13"/>
  <c r="HF137" i="13"/>
  <c r="HG137" i="13" s="1"/>
  <c r="A146" i="21"/>
  <c r="GU139" i="13"/>
  <c r="GW138" i="13"/>
  <c r="GY138" i="13"/>
  <c r="GX138" i="13"/>
  <c r="GZ138" i="13"/>
  <c r="B146" i="21" l="1"/>
  <c r="D146" i="21"/>
  <c r="HH137" i="13"/>
  <c r="HI137" i="13"/>
  <c r="HF138" i="13"/>
  <c r="HG138" i="13" s="1"/>
  <c r="A147" i="21"/>
  <c r="GU140" i="13"/>
  <c r="GW139" i="13"/>
  <c r="GY139" i="13"/>
  <c r="GX139" i="13"/>
  <c r="GZ139" i="13"/>
  <c r="B147" i="21" l="1"/>
  <c r="D147" i="21"/>
  <c r="HH138" i="13"/>
  <c r="HI138" i="13"/>
  <c r="HF139" i="13"/>
  <c r="HG139" i="13" s="1"/>
  <c r="A148" i="21"/>
  <c r="GU141" i="13"/>
  <c r="GW140" i="13"/>
  <c r="GY140" i="13"/>
  <c r="GX140" i="13"/>
  <c r="GZ140" i="13"/>
  <c r="B148" i="21" l="1"/>
  <c r="D148" i="21"/>
  <c r="HH139" i="13"/>
  <c r="HI139" i="13"/>
  <c r="HF140" i="13"/>
  <c r="HG140" i="13" s="1"/>
  <c r="A149" i="21"/>
  <c r="GU142" i="13"/>
  <c r="GW141" i="13"/>
  <c r="GY141" i="13"/>
  <c r="GX141" i="13"/>
  <c r="GZ141" i="13"/>
  <c r="B149" i="21" l="1"/>
  <c r="D149" i="21"/>
  <c r="HH140" i="13"/>
  <c r="HI140" i="13"/>
  <c r="HF141" i="13"/>
  <c r="HG141" i="13" s="1"/>
  <c r="A150" i="21"/>
  <c r="GU143" i="13"/>
  <c r="GW142" i="13"/>
  <c r="GY142" i="13"/>
  <c r="GX142" i="13"/>
  <c r="GZ142" i="13"/>
  <c r="B150" i="21" l="1"/>
  <c r="D150" i="21"/>
  <c r="HH141" i="13"/>
  <c r="HI141" i="13"/>
  <c r="HF142" i="13"/>
  <c r="HG142" i="13" s="1"/>
  <c r="A151" i="21"/>
  <c r="GU144" i="13"/>
  <c r="GW143" i="13"/>
  <c r="GY143" i="13"/>
  <c r="GX143" i="13"/>
  <c r="GZ143" i="13"/>
  <c r="D151" i="21" l="1"/>
  <c r="B151" i="21"/>
  <c r="HH142" i="13"/>
  <c r="HI142" i="13"/>
  <c r="HF143" i="13"/>
  <c r="HG143" i="13" s="1"/>
  <c r="A152" i="21"/>
  <c r="GU145" i="13"/>
  <c r="GW144" i="13"/>
  <c r="GY144" i="13"/>
  <c r="GX144" i="13"/>
  <c r="GZ144" i="13"/>
  <c r="D152" i="21" l="1"/>
  <c r="B152" i="21"/>
  <c r="HH143" i="13"/>
  <c r="HI143" i="13"/>
  <c r="HF144" i="13"/>
  <c r="HG144" i="13" s="1"/>
  <c r="A153" i="21"/>
  <c r="GU146" i="13"/>
  <c r="GW145" i="13"/>
  <c r="GY145" i="13"/>
  <c r="GX145" i="13"/>
  <c r="GZ145" i="13"/>
  <c r="B153" i="21" l="1"/>
  <c r="D153" i="21"/>
  <c r="HH144" i="13"/>
  <c r="HI144" i="13"/>
  <c r="HF145" i="13"/>
  <c r="HG145" i="13" s="1"/>
  <c r="A154" i="21"/>
  <c r="GU147" i="13"/>
  <c r="GW146" i="13"/>
  <c r="GY146" i="13"/>
  <c r="GX146" i="13"/>
  <c r="GZ146" i="13"/>
  <c r="B154" i="21" l="1"/>
  <c r="D154" i="21"/>
  <c r="HH145" i="13"/>
  <c r="HI145" i="13"/>
  <c r="HF146" i="13"/>
  <c r="HG146" i="13" s="1"/>
  <c r="A155" i="21"/>
  <c r="GU148" i="13"/>
  <c r="GW147" i="13"/>
  <c r="GY147" i="13"/>
  <c r="GX147" i="13"/>
  <c r="GZ147" i="13"/>
  <c r="D155" i="21" l="1"/>
  <c r="B155" i="21"/>
  <c r="HH146" i="13"/>
  <c r="HI146" i="13"/>
  <c r="HF147" i="13"/>
  <c r="HG147" i="13" s="1"/>
  <c r="A156" i="21"/>
  <c r="GU149" i="13"/>
  <c r="GW148" i="13"/>
  <c r="GY148" i="13"/>
  <c r="GX148" i="13"/>
  <c r="GZ148" i="13"/>
  <c r="D156" i="21" l="1"/>
  <c r="B156" i="21"/>
  <c r="HH147" i="13"/>
  <c r="HI147" i="13"/>
  <c r="HF148" i="13"/>
  <c r="HG148" i="13" s="1"/>
  <c r="A157" i="21"/>
  <c r="GU150" i="13"/>
  <c r="GW149" i="13"/>
  <c r="GY149" i="13"/>
  <c r="GX149" i="13"/>
  <c r="GZ149" i="13"/>
  <c r="D157" i="21" l="1"/>
  <c r="B157" i="21"/>
  <c r="HH148" i="13"/>
  <c r="HI148" i="13"/>
  <c r="HF149" i="13"/>
  <c r="HG149" i="13" s="1"/>
  <c r="A158" i="21"/>
  <c r="GU151" i="13"/>
  <c r="GW150" i="13"/>
  <c r="GY150" i="13"/>
  <c r="GX150" i="13"/>
  <c r="GZ150" i="13"/>
  <c r="B158" i="21" l="1"/>
  <c r="D158" i="21"/>
  <c r="HH149" i="13"/>
  <c r="HI149" i="13"/>
  <c r="HF150" i="13"/>
  <c r="HG150" i="13" s="1"/>
  <c r="A159" i="21"/>
  <c r="GU152" i="13"/>
  <c r="GW151" i="13"/>
  <c r="GY151" i="13"/>
  <c r="GX151" i="13"/>
  <c r="GZ151" i="13"/>
  <c r="B159" i="21" l="1"/>
  <c r="D159" i="21"/>
  <c r="HH150" i="13"/>
  <c r="HI150" i="13"/>
  <c r="HF151" i="13"/>
  <c r="HG151" i="13" s="1"/>
  <c r="A160" i="21"/>
  <c r="GU153" i="13"/>
  <c r="GW152" i="13"/>
  <c r="GY152" i="13"/>
  <c r="GX152" i="13"/>
  <c r="GZ152" i="13"/>
  <c r="D160" i="21" l="1"/>
  <c r="B160" i="21"/>
  <c r="HH151" i="13"/>
  <c r="HI151" i="13"/>
  <c r="HF152" i="13"/>
  <c r="HG152" i="13" s="1"/>
  <c r="A161" i="21"/>
  <c r="GU154" i="13"/>
  <c r="GW153" i="13"/>
  <c r="GY153" i="13"/>
  <c r="GX153" i="13"/>
  <c r="GZ153" i="13"/>
  <c r="B161" i="21" l="1"/>
  <c r="D161" i="21"/>
  <c r="HH152" i="13"/>
  <c r="HI152" i="13"/>
  <c r="HF153" i="13"/>
  <c r="HG153" i="13" s="1"/>
  <c r="A162" i="21"/>
  <c r="GU155" i="13"/>
  <c r="GW154" i="13"/>
  <c r="GY154" i="13"/>
  <c r="GX154" i="13"/>
  <c r="GZ154" i="13"/>
  <c r="D162" i="21" l="1"/>
  <c r="B162" i="21"/>
  <c r="HH153" i="13"/>
  <c r="HI153" i="13"/>
  <c r="HF154" i="13"/>
  <c r="HG154" i="13" s="1"/>
  <c r="A163" i="21"/>
  <c r="GU156" i="13"/>
  <c r="GW155" i="13"/>
  <c r="GY155" i="13"/>
  <c r="GX155" i="13"/>
  <c r="GZ155" i="13"/>
  <c r="B163" i="21" l="1"/>
  <c r="D163" i="21"/>
  <c r="HH154" i="13"/>
  <c r="HI154" i="13"/>
  <c r="HF155" i="13"/>
  <c r="HG155" i="13" s="1"/>
  <c r="A164" i="21"/>
  <c r="GU157" i="13"/>
  <c r="GW156" i="13"/>
  <c r="GY156" i="13"/>
  <c r="GX156" i="13"/>
  <c r="GZ156" i="13"/>
  <c r="B164" i="21" l="1"/>
  <c r="D164" i="21"/>
  <c r="HH155" i="13"/>
  <c r="HI155" i="13"/>
  <c r="HF156" i="13"/>
  <c r="HG156" i="13" s="1"/>
  <c r="A165" i="21"/>
  <c r="GU158" i="13"/>
  <c r="GW157" i="13"/>
  <c r="GY157" i="13"/>
  <c r="GX157" i="13"/>
  <c r="GZ157" i="13"/>
  <c r="D165" i="21" l="1"/>
  <c r="B165" i="21"/>
  <c r="HH156" i="13"/>
  <c r="HI156" i="13"/>
  <c r="HF157" i="13"/>
  <c r="HG157" i="13" s="1"/>
  <c r="A166" i="21"/>
  <c r="GU159" i="13"/>
  <c r="GW158" i="13"/>
  <c r="GY158" i="13"/>
  <c r="GX158" i="13"/>
  <c r="GZ158" i="13"/>
  <c r="D166" i="21" l="1"/>
  <c r="B166" i="21"/>
  <c r="HH157" i="13"/>
  <c r="HI157" i="13"/>
  <c r="HF158" i="13"/>
  <c r="HG158" i="13" s="1"/>
  <c r="A167" i="21"/>
  <c r="GU160" i="13"/>
  <c r="GW159" i="13"/>
  <c r="GY159" i="13"/>
  <c r="GX159" i="13"/>
  <c r="GZ159" i="13"/>
  <c r="B167" i="21" l="1"/>
  <c r="D167" i="21"/>
  <c r="HH158" i="13"/>
  <c r="HI158" i="13"/>
  <c r="HF159" i="13"/>
  <c r="HG159" i="13" s="1"/>
  <c r="A168" i="21"/>
  <c r="GU161" i="13"/>
  <c r="GW160" i="13"/>
  <c r="GY160" i="13"/>
  <c r="GX160" i="13"/>
  <c r="GZ160" i="13"/>
  <c r="B168" i="21" l="1"/>
  <c r="D168" i="21"/>
  <c r="HH159" i="13"/>
  <c r="HI159" i="13"/>
  <c r="HF160" i="13"/>
  <c r="HG160" i="13" s="1"/>
  <c r="A169" i="21"/>
  <c r="GU162" i="13"/>
  <c r="GW161" i="13"/>
  <c r="GY161" i="13"/>
  <c r="GX161" i="13"/>
  <c r="GZ161" i="13"/>
  <c r="D169" i="21" l="1"/>
  <c r="B169" i="21"/>
  <c r="HH160" i="13"/>
  <c r="HI160" i="13"/>
  <c r="HF161" i="13"/>
  <c r="HG161" i="13" s="1"/>
  <c r="A170" i="21"/>
  <c r="GU163" i="13"/>
  <c r="GW162" i="13"/>
  <c r="GY162" i="13"/>
  <c r="GX162" i="13"/>
  <c r="GZ162" i="13"/>
  <c r="B170" i="21" l="1"/>
  <c r="D170" i="21"/>
  <c r="HH161" i="13"/>
  <c r="HI161" i="13"/>
  <c r="HF162" i="13"/>
  <c r="HG162" i="13" s="1"/>
  <c r="A171" i="21"/>
  <c r="GU164" i="13"/>
  <c r="GW163" i="13"/>
  <c r="GY163" i="13"/>
  <c r="GX163" i="13"/>
  <c r="GZ163" i="13"/>
  <c r="B171" i="21" l="1"/>
  <c r="D171" i="21"/>
  <c r="HH162" i="13"/>
  <c r="HI162" i="13"/>
  <c r="HF163" i="13"/>
  <c r="HG163" i="13" s="1"/>
  <c r="A172" i="21"/>
  <c r="GU165" i="13"/>
  <c r="GW164" i="13"/>
  <c r="GY164" i="13"/>
  <c r="GX164" i="13"/>
  <c r="GZ164" i="13"/>
  <c r="B172" i="21" l="1"/>
  <c r="D172" i="21"/>
  <c r="HH163" i="13"/>
  <c r="HI163" i="13"/>
  <c r="HF164" i="13"/>
  <c r="HG164" i="13" s="1"/>
  <c r="A173" i="21"/>
  <c r="GU166" i="13"/>
  <c r="GW165" i="13"/>
  <c r="GY165" i="13"/>
  <c r="GX165" i="13"/>
  <c r="GZ165" i="13"/>
  <c r="D173" i="21" l="1"/>
  <c r="B173" i="21"/>
  <c r="HH164" i="13"/>
  <c r="HI164" i="13"/>
  <c r="HF165" i="13"/>
  <c r="HG165" i="13" s="1"/>
  <c r="A174" i="21"/>
  <c r="GU167" i="13"/>
  <c r="GW166" i="13"/>
  <c r="GY166" i="13"/>
  <c r="GX166" i="13"/>
  <c r="GZ166" i="13"/>
  <c r="D174" i="21" l="1"/>
  <c r="B174" i="21"/>
  <c r="HH165" i="13"/>
  <c r="HI165" i="13"/>
  <c r="HF166" i="13"/>
  <c r="HG166" i="13" s="1"/>
  <c r="A175" i="21"/>
  <c r="GU168" i="13"/>
  <c r="GW167" i="13"/>
  <c r="GY167" i="13"/>
  <c r="GX167" i="13"/>
  <c r="GZ167" i="13"/>
  <c r="D175" i="21" l="1"/>
  <c r="B175" i="21"/>
  <c r="HH166" i="13"/>
  <c r="HI166" i="13"/>
  <c r="HF167" i="13"/>
  <c r="HG167" i="13" s="1"/>
  <c r="A176" i="21"/>
  <c r="GU169" i="13"/>
  <c r="GW168" i="13"/>
  <c r="GY168" i="13"/>
  <c r="GX168" i="13"/>
  <c r="GZ168" i="13"/>
  <c r="D176" i="21" l="1"/>
  <c r="B176" i="21"/>
  <c r="HH167" i="13"/>
  <c r="HI167" i="13"/>
  <c r="HF168" i="13"/>
  <c r="HG168" i="13" s="1"/>
  <c r="A177" i="21"/>
  <c r="GU170" i="13"/>
  <c r="GW169" i="13"/>
  <c r="GY169" i="13"/>
  <c r="GX169" i="13"/>
  <c r="GZ169" i="13"/>
  <c r="D177" i="21" l="1"/>
  <c r="B177" i="21"/>
  <c r="HH168" i="13"/>
  <c r="HI168" i="13"/>
  <c r="HF169" i="13"/>
  <c r="HG169" i="13" s="1"/>
  <c r="A178" i="21"/>
  <c r="GU171" i="13"/>
  <c r="GW170" i="13"/>
  <c r="GY170" i="13"/>
  <c r="GX170" i="13"/>
  <c r="GZ170" i="13"/>
  <c r="B178" i="21" l="1"/>
  <c r="D178" i="21"/>
  <c r="HH169" i="13"/>
  <c r="HI169" i="13"/>
  <c r="HF170" i="13"/>
  <c r="HG170" i="13" s="1"/>
  <c r="A179" i="21"/>
  <c r="GU172" i="13"/>
  <c r="GW171" i="13"/>
  <c r="GY171" i="13"/>
  <c r="GX171" i="13"/>
  <c r="GZ171" i="13"/>
  <c r="D179" i="21" l="1"/>
  <c r="B179" i="21"/>
  <c r="HH170" i="13"/>
  <c r="HI170" i="13"/>
  <c r="HF171" i="13"/>
  <c r="HG171" i="13" s="1"/>
  <c r="A180" i="21"/>
  <c r="GU173" i="13"/>
  <c r="GW172" i="13"/>
  <c r="GY172" i="13"/>
  <c r="GX172" i="13"/>
  <c r="GZ172" i="13"/>
  <c r="B180" i="21" l="1"/>
  <c r="D180" i="21"/>
  <c r="HH171" i="13"/>
  <c r="HI171" i="13"/>
  <c r="HF172" i="13"/>
  <c r="HG172" i="13" s="1"/>
  <c r="A181" i="21"/>
  <c r="GU174" i="13"/>
  <c r="GW173" i="13"/>
  <c r="GY173" i="13"/>
  <c r="GX173" i="13"/>
  <c r="GZ173" i="13"/>
  <c r="B181" i="21" l="1"/>
  <c r="D181" i="21"/>
  <c r="HH172" i="13"/>
  <c r="HI172" i="13"/>
  <c r="HF173" i="13"/>
  <c r="HG173" i="13" s="1"/>
  <c r="A182" i="21"/>
  <c r="GU175" i="13"/>
  <c r="GW174" i="13"/>
  <c r="GY174" i="13"/>
  <c r="GX174" i="13"/>
  <c r="GZ174" i="13"/>
  <c r="B182" i="21" l="1"/>
  <c r="D182" i="21"/>
  <c r="HH173" i="13"/>
  <c r="HI173" i="13"/>
  <c r="HF174" i="13"/>
  <c r="HG174" i="13" s="1"/>
  <c r="A183" i="21"/>
  <c r="GU176" i="13"/>
  <c r="GW175" i="13"/>
  <c r="GY175" i="13"/>
  <c r="GX175" i="13"/>
  <c r="GZ175" i="13"/>
  <c r="B183" i="21" l="1"/>
  <c r="D183" i="21"/>
  <c r="HH174" i="13"/>
  <c r="HI174" i="13"/>
  <c r="HF175" i="13"/>
  <c r="HG175" i="13" s="1"/>
  <c r="A184" i="21"/>
  <c r="GU177" i="13"/>
  <c r="GW176" i="13"/>
  <c r="GY176" i="13"/>
  <c r="GX176" i="13"/>
  <c r="GZ176" i="13"/>
  <c r="D184" i="21" l="1"/>
  <c r="B184" i="21"/>
  <c r="HH175" i="13"/>
  <c r="HI175" i="13"/>
  <c r="HF176" i="13"/>
  <c r="HG176" i="13" s="1"/>
  <c r="A185" i="21"/>
  <c r="GU178" i="13"/>
  <c r="GW177" i="13"/>
  <c r="GY177" i="13"/>
  <c r="GX177" i="13"/>
  <c r="GZ177" i="13"/>
  <c r="B185" i="21" l="1"/>
  <c r="D185" i="21"/>
  <c r="HH176" i="13"/>
  <c r="HI176" i="13"/>
  <c r="HF177" i="13"/>
  <c r="HG177" i="13" s="1"/>
  <c r="A186" i="21"/>
  <c r="GU179" i="13"/>
  <c r="GW178" i="13"/>
  <c r="GY178" i="13"/>
  <c r="GX178" i="13"/>
  <c r="GZ178" i="13"/>
  <c r="D186" i="21" l="1"/>
  <c r="B186" i="21"/>
  <c r="HH177" i="13"/>
  <c r="HI177" i="13"/>
  <c r="HF178" i="13"/>
  <c r="HG178" i="13" s="1"/>
  <c r="A187" i="21"/>
  <c r="GU180" i="13"/>
  <c r="GW179" i="13"/>
  <c r="GY179" i="13"/>
  <c r="GX179" i="13"/>
  <c r="GZ179" i="13"/>
  <c r="D187" i="21" l="1"/>
  <c r="B187" i="21"/>
  <c r="HH178" i="13"/>
  <c r="HI178" i="13"/>
  <c r="HF179" i="13"/>
  <c r="HG179" i="13" s="1"/>
  <c r="A188" i="21"/>
  <c r="GU181" i="13"/>
  <c r="GW180" i="13"/>
  <c r="GY180" i="13"/>
  <c r="GX180" i="13"/>
  <c r="GZ180" i="13"/>
  <c r="B188" i="21" l="1"/>
  <c r="D188" i="21"/>
  <c r="HH179" i="13"/>
  <c r="HI179" i="13"/>
  <c r="HF180" i="13"/>
  <c r="HG180" i="13" s="1"/>
  <c r="A189" i="21"/>
  <c r="GU182" i="13"/>
  <c r="GW181" i="13"/>
  <c r="GY181" i="13"/>
  <c r="GX181" i="13"/>
  <c r="GZ181" i="13"/>
  <c r="B189" i="21" l="1"/>
  <c r="D189" i="21"/>
  <c r="HH180" i="13"/>
  <c r="HI180" i="13"/>
  <c r="HF181" i="13"/>
  <c r="HG181" i="13" s="1"/>
  <c r="A190" i="21"/>
  <c r="GU183" i="13"/>
  <c r="GW182" i="13"/>
  <c r="GY182" i="13"/>
  <c r="GX182" i="13"/>
  <c r="GZ182" i="13"/>
  <c r="D190" i="21" l="1"/>
  <c r="B190" i="21"/>
  <c r="HH181" i="13"/>
  <c r="HI181" i="13"/>
  <c r="HF182" i="13"/>
  <c r="HG182" i="13" s="1"/>
  <c r="A191" i="21"/>
  <c r="GU184" i="13"/>
  <c r="GW183" i="13"/>
  <c r="GY183" i="13"/>
  <c r="GX183" i="13"/>
  <c r="GZ183" i="13"/>
  <c r="D191" i="21" l="1"/>
  <c r="B191" i="21"/>
  <c r="HH182" i="13"/>
  <c r="HI182" i="13"/>
  <c r="HF183" i="13"/>
  <c r="HG183" i="13" s="1"/>
  <c r="A192" i="21"/>
  <c r="GU185" i="13"/>
  <c r="GW184" i="13"/>
  <c r="GY184" i="13"/>
  <c r="GX184" i="13"/>
  <c r="GZ184" i="13"/>
  <c r="B192" i="21" l="1"/>
  <c r="D192" i="21"/>
  <c r="HH183" i="13"/>
  <c r="HI183" i="13"/>
  <c r="HF184" i="13"/>
  <c r="HG184" i="13" s="1"/>
  <c r="A193" i="21"/>
  <c r="GU186" i="13"/>
  <c r="GW185" i="13"/>
  <c r="GY185" i="13"/>
  <c r="GX185" i="13"/>
  <c r="GZ185" i="13"/>
  <c r="B193" i="21" l="1"/>
  <c r="D193" i="21"/>
  <c r="HH184" i="13"/>
  <c r="HI184" i="13"/>
  <c r="HF185" i="13"/>
  <c r="HG185" i="13" s="1"/>
  <c r="A194" i="21"/>
  <c r="GU187" i="13"/>
  <c r="GW186" i="13"/>
  <c r="GY186" i="13"/>
  <c r="GX186" i="13"/>
  <c r="GZ186" i="13"/>
  <c r="D194" i="21" l="1"/>
  <c r="B194" i="21"/>
  <c r="HH185" i="13"/>
  <c r="HI185" i="13"/>
  <c r="HF186" i="13"/>
  <c r="HG186" i="13" s="1"/>
  <c r="A195" i="21"/>
  <c r="GU188" i="13"/>
  <c r="GW187" i="13"/>
  <c r="GY187" i="13"/>
  <c r="GX187" i="13"/>
  <c r="GZ187" i="13"/>
  <c r="B195" i="21" l="1"/>
  <c r="D195" i="21"/>
  <c r="HH186" i="13"/>
  <c r="HI186" i="13"/>
  <c r="HF187" i="13"/>
  <c r="HG187" i="13" s="1"/>
  <c r="A196" i="21"/>
  <c r="GU189" i="13"/>
  <c r="GW188" i="13"/>
  <c r="GY188" i="13"/>
  <c r="GX188" i="13"/>
  <c r="GZ188" i="13"/>
  <c r="B196" i="21" l="1"/>
  <c r="D196" i="21"/>
  <c r="HH187" i="13"/>
  <c r="HI187" i="13"/>
  <c r="HF188" i="13"/>
  <c r="HG188" i="13" s="1"/>
  <c r="A197" i="21"/>
  <c r="GU190" i="13"/>
  <c r="GW189" i="13"/>
  <c r="GY189" i="13"/>
  <c r="GX189" i="13"/>
  <c r="GZ189" i="13"/>
  <c r="B197" i="21" l="1"/>
  <c r="D197" i="21"/>
  <c r="HH188" i="13"/>
  <c r="HI188" i="13"/>
  <c r="HF189" i="13"/>
  <c r="HG189" i="13" s="1"/>
  <c r="A198" i="21"/>
  <c r="GU191" i="13"/>
  <c r="GW190" i="13"/>
  <c r="GY190" i="13"/>
  <c r="GX190" i="13"/>
  <c r="GZ190" i="13"/>
  <c r="B198" i="21" l="1"/>
  <c r="D198" i="21"/>
  <c r="HH189" i="13"/>
  <c r="HI189" i="13"/>
  <c r="HF190" i="13"/>
  <c r="HG190" i="13" s="1"/>
  <c r="A199" i="21"/>
  <c r="GU192" i="13"/>
  <c r="GW191" i="13"/>
  <c r="GY191" i="13"/>
  <c r="GX191" i="13"/>
  <c r="GZ191" i="13"/>
  <c r="D199" i="21" l="1"/>
  <c r="B199" i="21"/>
  <c r="HH190" i="13"/>
  <c r="HI190" i="13"/>
  <c r="HF191" i="13"/>
  <c r="HG191" i="13" s="1"/>
  <c r="A200" i="21"/>
  <c r="GU193" i="13"/>
  <c r="GW192" i="13"/>
  <c r="GY192" i="13"/>
  <c r="GX192" i="13"/>
  <c r="GZ192" i="13"/>
  <c r="B200" i="21" l="1"/>
  <c r="D200" i="21"/>
  <c r="HH191" i="13"/>
  <c r="HI191" i="13"/>
  <c r="HF192" i="13"/>
  <c r="HG192" i="13" s="1"/>
  <c r="A201" i="21"/>
  <c r="GU194" i="13"/>
  <c r="GW193" i="13"/>
  <c r="GY193" i="13"/>
  <c r="GX193" i="13"/>
  <c r="GZ193" i="13"/>
  <c r="D201" i="21" l="1"/>
  <c r="B201" i="21"/>
  <c r="HH192" i="13"/>
  <c r="HI192" i="13"/>
  <c r="HF193" i="13"/>
  <c r="HG193" i="13" s="1"/>
  <c r="A202" i="21"/>
  <c r="GU195" i="13"/>
  <c r="GW194" i="13"/>
  <c r="GY194" i="13"/>
  <c r="GX194" i="13"/>
  <c r="GZ194" i="13"/>
  <c r="B202" i="21" l="1"/>
  <c r="D202" i="21"/>
  <c r="HH193" i="13"/>
  <c r="HI193" i="13"/>
  <c r="HF194" i="13"/>
  <c r="HG194" i="13" s="1"/>
  <c r="A203" i="21"/>
  <c r="GU196" i="13"/>
  <c r="GW195" i="13"/>
  <c r="GY195" i="13"/>
  <c r="GX195" i="13"/>
  <c r="GZ195" i="13"/>
  <c r="D203" i="21" l="1"/>
  <c r="B203" i="21"/>
  <c r="HH194" i="13"/>
  <c r="HI194" i="13"/>
  <c r="HF195" i="13"/>
  <c r="HG195" i="13" s="1"/>
  <c r="A204" i="21"/>
  <c r="GU197" i="13"/>
  <c r="GW196" i="13"/>
  <c r="GY196" i="13"/>
  <c r="GX196" i="13"/>
  <c r="GZ196" i="13"/>
  <c r="D204" i="21" l="1"/>
  <c r="B204" i="21"/>
  <c r="HH195" i="13"/>
  <c r="HI195" i="13"/>
  <c r="HF196" i="13"/>
  <c r="HG196" i="13" s="1"/>
  <c r="A205" i="21"/>
  <c r="GU198" i="13"/>
  <c r="GW197" i="13"/>
  <c r="GY197" i="13"/>
  <c r="GX197" i="13"/>
  <c r="GZ197" i="13"/>
  <c r="B205" i="21" l="1"/>
  <c r="D205" i="21"/>
  <c r="HH196" i="13"/>
  <c r="HI196" i="13"/>
  <c r="HF197" i="13"/>
  <c r="HG197" i="13" s="1"/>
  <c r="A206" i="21"/>
  <c r="GU199" i="13"/>
  <c r="GW198" i="13"/>
  <c r="GY198" i="13"/>
  <c r="GX198" i="13"/>
  <c r="GZ198" i="13"/>
  <c r="D206" i="21" l="1"/>
  <c r="B206" i="21"/>
  <c r="HH197" i="13"/>
  <c r="HI197" i="13"/>
  <c r="HF198" i="13"/>
  <c r="HG198" i="13" s="1"/>
  <c r="A207" i="21"/>
  <c r="GU200" i="13"/>
  <c r="GW199" i="13"/>
  <c r="GY199" i="13"/>
  <c r="GX199" i="13"/>
  <c r="GZ199" i="13"/>
  <c r="D207" i="21" l="1"/>
  <c r="B207" i="21"/>
  <c r="HH198" i="13"/>
  <c r="HI198" i="13"/>
  <c r="HF199" i="13"/>
  <c r="HG199" i="13" s="1"/>
  <c r="A208" i="21"/>
  <c r="GU201" i="13"/>
  <c r="GW200" i="13"/>
  <c r="GY200" i="13"/>
  <c r="GX200" i="13"/>
  <c r="GZ200" i="13"/>
  <c r="B208" i="21" l="1"/>
  <c r="D208" i="21"/>
  <c r="HH199" i="13"/>
  <c r="HI199" i="13"/>
  <c r="HF200" i="13"/>
  <c r="HG200" i="13" s="1"/>
  <c r="A209" i="21"/>
  <c r="GU202" i="13"/>
  <c r="GW201" i="13"/>
  <c r="GY201" i="13"/>
  <c r="GX201" i="13"/>
  <c r="GZ201" i="13"/>
  <c r="B209" i="21" l="1"/>
  <c r="D209" i="21"/>
  <c r="HH200" i="13"/>
  <c r="HI200" i="13"/>
  <c r="HF201" i="13"/>
  <c r="HG201" i="13" s="1"/>
  <c r="A210" i="21"/>
  <c r="GU203" i="13"/>
  <c r="GW202" i="13"/>
  <c r="GY202" i="13"/>
  <c r="GX202" i="13"/>
  <c r="GZ202" i="13"/>
  <c r="B210" i="21" l="1"/>
  <c r="D210" i="21"/>
  <c r="HH201" i="13"/>
  <c r="HI201" i="13"/>
  <c r="HF202" i="13"/>
  <c r="HG202" i="13" s="1"/>
  <c r="A211" i="21"/>
  <c r="GU204" i="13"/>
  <c r="GW203" i="13"/>
  <c r="GY203" i="13"/>
  <c r="GX203" i="13"/>
  <c r="GZ203" i="13"/>
  <c r="B211" i="21" l="1"/>
  <c r="D211" i="21"/>
  <c r="HH202" i="13"/>
  <c r="HI202" i="13"/>
  <c r="HF203" i="13"/>
  <c r="HG203" i="13" s="1"/>
  <c r="A212" i="21"/>
  <c r="GU205" i="13"/>
  <c r="GW204" i="13"/>
  <c r="GY204" i="13"/>
  <c r="GX204" i="13"/>
  <c r="GZ204" i="13"/>
  <c r="D212" i="21" l="1"/>
  <c r="B212" i="21"/>
  <c r="HH203" i="13"/>
  <c r="HI203" i="13"/>
  <c r="HF204" i="13"/>
  <c r="HG204" i="13" s="1"/>
  <c r="A213" i="21"/>
  <c r="GU206" i="13"/>
  <c r="GW205" i="13"/>
  <c r="GY205" i="13"/>
  <c r="GX205" i="13"/>
  <c r="GZ205" i="13"/>
  <c r="B213" i="21" l="1"/>
  <c r="D213" i="21"/>
  <c r="HH204" i="13"/>
  <c r="HI204" i="13"/>
  <c r="HF205" i="13"/>
  <c r="HG205" i="13" s="1"/>
  <c r="A214" i="21"/>
  <c r="GU207" i="13"/>
  <c r="GW206" i="13"/>
  <c r="GY206" i="13"/>
  <c r="GX206" i="13"/>
  <c r="GZ206" i="13"/>
  <c r="B214" i="21" l="1"/>
  <c r="D214" i="21"/>
  <c r="HH205" i="13"/>
  <c r="HI205" i="13"/>
  <c r="HF206" i="13"/>
  <c r="HG206" i="13" s="1"/>
  <c r="A215" i="21"/>
  <c r="GU208" i="13"/>
  <c r="GW207" i="13"/>
  <c r="GY207" i="13"/>
  <c r="GX207" i="13"/>
  <c r="GZ207" i="13"/>
  <c r="B215" i="21" l="1"/>
  <c r="D215" i="21"/>
  <c r="HH206" i="13"/>
  <c r="HI206" i="13"/>
  <c r="HF207" i="13"/>
  <c r="HG207" i="13" s="1"/>
  <c r="A216" i="21"/>
  <c r="GU209" i="13"/>
  <c r="GW208" i="13"/>
  <c r="GY208" i="13"/>
  <c r="GX208" i="13"/>
  <c r="GZ208" i="13"/>
  <c r="D216" i="21" l="1"/>
  <c r="B216" i="21"/>
  <c r="HH207" i="13"/>
  <c r="HI207" i="13"/>
  <c r="HF208" i="13"/>
  <c r="HG208" i="13" s="1"/>
  <c r="A217" i="21"/>
  <c r="GU210" i="13"/>
  <c r="GW209" i="13"/>
  <c r="GY209" i="13"/>
  <c r="GX209" i="13"/>
  <c r="GZ209" i="13"/>
  <c r="D217" i="21" l="1"/>
  <c r="B217" i="21"/>
  <c r="HH208" i="13"/>
  <c r="HI208" i="13"/>
  <c r="HF209" i="13"/>
  <c r="HG209" i="13" s="1"/>
  <c r="A218" i="21"/>
  <c r="GU211" i="13"/>
  <c r="GW210" i="13"/>
  <c r="GY210" i="13"/>
  <c r="GX210" i="13"/>
  <c r="GZ210" i="13"/>
  <c r="B218" i="21" l="1"/>
  <c r="D218" i="21"/>
  <c r="HH209" i="13"/>
  <c r="HI209" i="13"/>
  <c r="HF210" i="13"/>
  <c r="HG210" i="13" s="1"/>
  <c r="A219" i="21"/>
  <c r="GU212" i="13"/>
  <c r="GW211" i="13"/>
  <c r="GY211" i="13"/>
  <c r="GX211" i="13"/>
  <c r="GZ211" i="13"/>
  <c r="D219" i="21" l="1"/>
  <c r="B219" i="21"/>
  <c r="HH210" i="13"/>
  <c r="HI210" i="13"/>
  <c r="HF211" i="13"/>
  <c r="HG211" i="13" s="1"/>
  <c r="A220" i="21"/>
  <c r="GU213" i="13"/>
  <c r="GW212" i="13"/>
  <c r="GY212" i="13"/>
  <c r="GX212" i="13"/>
  <c r="GZ212" i="13"/>
  <c r="B220" i="21" l="1"/>
  <c r="D220" i="21"/>
  <c r="HH211" i="13"/>
  <c r="HI211" i="13"/>
  <c r="HF212" i="13"/>
  <c r="HG212" i="13" s="1"/>
  <c r="A221" i="21"/>
  <c r="GU214" i="13"/>
  <c r="GW213" i="13"/>
  <c r="GY213" i="13"/>
  <c r="GX213" i="13"/>
  <c r="GZ213" i="13"/>
  <c r="D221" i="21" l="1"/>
  <c r="B221" i="21"/>
  <c r="HH212" i="13"/>
  <c r="HI212" i="13"/>
  <c r="HF213" i="13"/>
  <c r="HG213" i="13" s="1"/>
  <c r="A222" i="21"/>
  <c r="GU215" i="13"/>
  <c r="GW214" i="13"/>
  <c r="GY214" i="13"/>
  <c r="GX214" i="13"/>
  <c r="GZ214" i="13"/>
  <c r="D222" i="21" l="1"/>
  <c r="B222" i="21"/>
  <c r="HH213" i="13"/>
  <c r="HI213" i="13"/>
  <c r="HF214" i="13"/>
  <c r="HG214" i="13" s="1"/>
  <c r="A223" i="21"/>
  <c r="GU216" i="13"/>
  <c r="GW215" i="13"/>
  <c r="GY215" i="13"/>
  <c r="GX215" i="13"/>
  <c r="GZ215" i="13"/>
  <c r="D223" i="21" l="1"/>
  <c r="B223" i="21"/>
  <c r="HH214" i="13"/>
  <c r="HI214" i="13"/>
  <c r="HF215" i="13"/>
  <c r="HG215" i="13" s="1"/>
  <c r="A224" i="21"/>
  <c r="GU217" i="13"/>
  <c r="GW216" i="13"/>
  <c r="GY216" i="13"/>
  <c r="GX216" i="13"/>
  <c r="GZ216" i="13"/>
  <c r="B224" i="21" l="1"/>
  <c r="D224" i="21"/>
  <c r="HH215" i="13"/>
  <c r="HI215" i="13"/>
  <c r="HF216" i="13"/>
  <c r="HG216" i="13" s="1"/>
  <c r="A225" i="21"/>
  <c r="GU218" i="13"/>
  <c r="GW217" i="13"/>
  <c r="GY217" i="13"/>
  <c r="GX217" i="13"/>
  <c r="GZ217" i="13"/>
  <c r="B225" i="21" l="1"/>
  <c r="D225" i="21"/>
  <c r="HH216" i="13"/>
  <c r="HI216" i="13"/>
  <c r="HF217" i="13"/>
  <c r="HG217" i="13" s="1"/>
  <c r="A226" i="21"/>
  <c r="GU219" i="13"/>
  <c r="GW218" i="13"/>
  <c r="GY218" i="13"/>
  <c r="GX218" i="13"/>
  <c r="GZ218" i="13"/>
  <c r="D226" i="21" l="1"/>
  <c r="B226" i="21"/>
  <c r="HH217" i="13"/>
  <c r="HI217" i="13"/>
  <c r="HF218" i="13"/>
  <c r="HG218" i="13" s="1"/>
  <c r="A227" i="21"/>
  <c r="GU220" i="13"/>
  <c r="GW219" i="13"/>
  <c r="GY219" i="13"/>
  <c r="GX219" i="13"/>
  <c r="GZ219" i="13"/>
  <c r="D227" i="21" l="1"/>
  <c r="B227" i="21"/>
  <c r="HH218" i="13"/>
  <c r="HI218" i="13"/>
  <c r="HF219" i="13"/>
  <c r="HG219" i="13" s="1"/>
  <c r="A228" i="21"/>
  <c r="GU221" i="13"/>
  <c r="GW220" i="13"/>
  <c r="GY220" i="13"/>
  <c r="GX220" i="13"/>
  <c r="GZ220" i="13"/>
  <c r="B228" i="21" l="1"/>
  <c r="D228" i="21"/>
  <c r="HH219" i="13"/>
  <c r="HI219" i="13"/>
  <c r="HF220" i="13"/>
  <c r="HG220" i="13" s="1"/>
  <c r="A229" i="21"/>
  <c r="GU222" i="13"/>
  <c r="GW221" i="13"/>
  <c r="GY221" i="13"/>
  <c r="GX221" i="13"/>
  <c r="GZ221" i="13"/>
  <c r="D229" i="21" l="1"/>
  <c r="B229" i="21"/>
  <c r="HH220" i="13"/>
  <c r="HI220" i="13"/>
  <c r="HF221" i="13"/>
  <c r="HG221" i="13" s="1"/>
  <c r="A230" i="21"/>
  <c r="GU223" i="13"/>
  <c r="GW222" i="13"/>
  <c r="GY222" i="13"/>
  <c r="GX222" i="13"/>
  <c r="GZ222" i="13"/>
  <c r="B230" i="21" l="1"/>
  <c r="D230" i="21"/>
  <c r="HH221" i="13"/>
  <c r="HI221" i="13"/>
  <c r="HF222" i="13"/>
  <c r="HG222" i="13" s="1"/>
  <c r="A231" i="21"/>
  <c r="GU224" i="13"/>
  <c r="GW223" i="13"/>
  <c r="GY223" i="13"/>
  <c r="GX223" i="13"/>
  <c r="GZ223" i="13"/>
  <c r="D231" i="21" l="1"/>
  <c r="B231" i="21"/>
  <c r="HH222" i="13"/>
  <c r="HI222" i="13"/>
  <c r="HF223" i="13"/>
  <c r="HG223" i="13" s="1"/>
  <c r="A232" i="21"/>
  <c r="GU225" i="13"/>
  <c r="GW224" i="13"/>
  <c r="GY224" i="13"/>
  <c r="GX224" i="13"/>
  <c r="GZ224" i="13"/>
  <c r="B232" i="21" l="1"/>
  <c r="D232" i="21"/>
  <c r="HH223" i="13"/>
  <c r="HI223" i="13"/>
  <c r="HF224" i="13"/>
  <c r="HG224" i="13" s="1"/>
  <c r="A233" i="21"/>
  <c r="GU226" i="13"/>
  <c r="GW225" i="13"/>
  <c r="GY225" i="13"/>
  <c r="GX225" i="13"/>
  <c r="GZ225" i="13"/>
  <c r="D233" i="21" l="1"/>
  <c r="B233" i="21"/>
  <c r="HH224" i="13"/>
  <c r="HI224" i="13"/>
  <c r="HF225" i="13"/>
  <c r="HG225" i="13" s="1"/>
  <c r="A234" i="21"/>
  <c r="GU227" i="13"/>
  <c r="GW226" i="13"/>
  <c r="GY226" i="13"/>
  <c r="GX226" i="13"/>
  <c r="GZ226" i="13"/>
  <c r="D234" i="21" l="1"/>
  <c r="B234" i="21"/>
  <c r="HH225" i="13"/>
  <c r="HI225" i="13"/>
  <c r="HF226" i="13"/>
  <c r="HG226" i="13" s="1"/>
  <c r="A235" i="21"/>
  <c r="GU228" i="13"/>
  <c r="GW227" i="13"/>
  <c r="GY227" i="13"/>
  <c r="GX227" i="13"/>
  <c r="GZ227" i="13"/>
  <c r="B235" i="21" l="1"/>
  <c r="D235" i="21"/>
  <c r="HH226" i="13"/>
  <c r="HI226" i="13"/>
  <c r="HF227" i="13"/>
  <c r="HG227" i="13" s="1"/>
  <c r="A236" i="21"/>
  <c r="GU229" i="13"/>
  <c r="GW228" i="13"/>
  <c r="GY228" i="13"/>
  <c r="GX228" i="13"/>
  <c r="GZ228" i="13"/>
  <c r="D236" i="21" l="1"/>
  <c r="B236" i="21"/>
  <c r="HH227" i="13"/>
  <c r="HI227" i="13"/>
  <c r="HF228" i="13"/>
  <c r="HG228" i="13" s="1"/>
  <c r="A237" i="21"/>
  <c r="GU230" i="13"/>
  <c r="GW229" i="13"/>
  <c r="GY229" i="13"/>
  <c r="GX229" i="13"/>
  <c r="GZ229" i="13"/>
  <c r="B237" i="21" l="1"/>
  <c r="D237" i="21"/>
  <c r="HH228" i="13"/>
  <c r="HI228" i="13"/>
  <c r="HF229" i="13"/>
  <c r="HG229" i="13" s="1"/>
  <c r="A238" i="21"/>
  <c r="GU231" i="13"/>
  <c r="GW230" i="13"/>
  <c r="GY230" i="13"/>
  <c r="GX230" i="13"/>
  <c r="GZ230" i="13"/>
  <c r="B238" i="21" l="1"/>
  <c r="D238" i="21"/>
  <c r="HH229" i="13"/>
  <c r="HI229" i="13"/>
  <c r="HF230" i="13"/>
  <c r="HG230" i="13" s="1"/>
  <c r="A239" i="21"/>
  <c r="GU232" i="13"/>
  <c r="GW231" i="13"/>
  <c r="GY231" i="13"/>
  <c r="GX231" i="13"/>
  <c r="GZ231" i="13"/>
  <c r="D239" i="21" l="1"/>
  <c r="B239" i="21"/>
  <c r="HH230" i="13"/>
  <c r="HI230" i="13"/>
  <c r="HF231" i="13"/>
  <c r="HG231" i="13" s="1"/>
  <c r="A240" i="21"/>
  <c r="GU233" i="13"/>
  <c r="GW232" i="13"/>
  <c r="GY232" i="13"/>
  <c r="GX232" i="13"/>
  <c r="GZ232" i="13"/>
  <c r="D240" i="21" l="1"/>
  <c r="B240" i="21"/>
  <c r="HH231" i="13"/>
  <c r="HI231" i="13"/>
  <c r="HF232" i="13"/>
  <c r="HG232" i="13" s="1"/>
  <c r="A241" i="21"/>
  <c r="GU234" i="13"/>
  <c r="GW233" i="13"/>
  <c r="GY233" i="13"/>
  <c r="GX233" i="13"/>
  <c r="GZ233" i="13"/>
  <c r="D241" i="21" l="1"/>
  <c r="B241" i="21"/>
  <c r="HH232" i="13"/>
  <c r="HI232" i="13"/>
  <c r="HF233" i="13"/>
  <c r="HG233" i="13" s="1"/>
  <c r="A242" i="21"/>
  <c r="GU235" i="13"/>
  <c r="GW234" i="13"/>
  <c r="GY234" i="13"/>
  <c r="GX234" i="13"/>
  <c r="GZ234" i="13"/>
  <c r="B242" i="21" l="1"/>
  <c r="D242" i="21"/>
  <c r="HH233" i="13"/>
  <c r="HI233" i="13"/>
  <c r="HF234" i="13"/>
  <c r="HG234" i="13" s="1"/>
  <c r="A243" i="21"/>
  <c r="GU236" i="13"/>
  <c r="GW235" i="13"/>
  <c r="GY235" i="13"/>
  <c r="GX235" i="13"/>
  <c r="GZ235" i="13"/>
  <c r="D243" i="21" l="1"/>
  <c r="B243" i="21"/>
  <c r="HH234" i="13"/>
  <c r="HI234" i="13"/>
  <c r="HF235" i="13"/>
  <c r="HG235" i="13" s="1"/>
  <c r="A244" i="21"/>
  <c r="GU237" i="13"/>
  <c r="GW236" i="13"/>
  <c r="GY236" i="13"/>
  <c r="GX236" i="13"/>
  <c r="GZ236" i="13"/>
  <c r="D244" i="21" l="1"/>
  <c r="B244" i="21"/>
  <c r="HH235" i="13"/>
  <c r="HI235" i="13"/>
  <c r="HF236" i="13"/>
  <c r="HG236" i="13" s="1"/>
  <c r="A245" i="21"/>
  <c r="GU238" i="13"/>
  <c r="GW237" i="13"/>
  <c r="GY237" i="13"/>
  <c r="GX237" i="13"/>
  <c r="GZ237" i="13"/>
  <c r="B245" i="21" l="1"/>
  <c r="D245" i="21"/>
  <c r="HH236" i="13"/>
  <c r="HI236" i="13"/>
  <c r="HF237" i="13"/>
  <c r="HG237" i="13" s="1"/>
  <c r="A246" i="21"/>
  <c r="GU239" i="13"/>
  <c r="GW238" i="13"/>
  <c r="GY238" i="13"/>
  <c r="GX238" i="13"/>
  <c r="GZ238" i="13"/>
  <c r="B246" i="21" l="1"/>
  <c r="D246" i="21"/>
  <c r="HH237" i="13"/>
  <c r="HI237" i="13"/>
  <c r="HF238" i="13"/>
  <c r="HG238" i="13" s="1"/>
  <c r="A247" i="21"/>
  <c r="GU240" i="13"/>
  <c r="GW239" i="13"/>
  <c r="GY239" i="13"/>
  <c r="GX239" i="13"/>
  <c r="GZ239" i="13"/>
  <c r="B247" i="21" l="1"/>
  <c r="D247" i="21"/>
  <c r="HH238" i="13"/>
  <c r="HI238" i="13"/>
  <c r="HF239" i="13"/>
  <c r="HG239" i="13" s="1"/>
  <c r="A248" i="21"/>
  <c r="GU241" i="13"/>
  <c r="GW240" i="13"/>
  <c r="GY240" i="13"/>
  <c r="GX240" i="13"/>
  <c r="GZ240" i="13"/>
  <c r="D248" i="21" l="1"/>
  <c r="B248" i="21"/>
  <c r="HH239" i="13"/>
  <c r="HI239" i="13"/>
  <c r="HF240" i="13"/>
  <c r="HG240" i="13" s="1"/>
  <c r="A249" i="21"/>
  <c r="GU242" i="13"/>
  <c r="GW241" i="13"/>
  <c r="GY241" i="13"/>
  <c r="GX241" i="13"/>
  <c r="GZ241" i="13"/>
  <c r="D249" i="21" l="1"/>
  <c r="B249" i="21"/>
  <c r="HH240" i="13"/>
  <c r="HI240" i="13"/>
  <c r="HF241" i="13"/>
  <c r="HG241" i="13" s="1"/>
  <c r="A250" i="21"/>
  <c r="GU243" i="13"/>
  <c r="GW242" i="13"/>
  <c r="GY242" i="13"/>
  <c r="GX242" i="13"/>
  <c r="GZ242" i="13"/>
  <c r="D250" i="21" l="1"/>
  <c r="B250" i="21"/>
  <c r="HH241" i="13"/>
  <c r="HI241" i="13"/>
  <c r="HF242" i="13"/>
  <c r="HG242" i="13" s="1"/>
  <c r="A251" i="21"/>
  <c r="GU244" i="13"/>
  <c r="GW243" i="13"/>
  <c r="GY243" i="13"/>
  <c r="GX243" i="13"/>
  <c r="GZ243" i="13"/>
  <c r="B251" i="21" l="1"/>
  <c r="D251" i="21"/>
  <c r="HH242" i="13"/>
  <c r="HI242" i="13"/>
  <c r="HF243" i="13"/>
  <c r="HG243" i="13" s="1"/>
  <c r="A252" i="21"/>
  <c r="GU245" i="13"/>
  <c r="GW244" i="13"/>
  <c r="GY244" i="13"/>
  <c r="GX244" i="13"/>
  <c r="GZ244" i="13"/>
  <c r="B252" i="21" l="1"/>
  <c r="D252" i="21"/>
  <c r="HH243" i="13"/>
  <c r="HI243" i="13"/>
  <c r="HF244" i="13"/>
  <c r="HG244" i="13" s="1"/>
  <c r="A253" i="21"/>
  <c r="GU246" i="13"/>
  <c r="GW245" i="13"/>
  <c r="GY245" i="13"/>
  <c r="GX245" i="13"/>
  <c r="GZ245" i="13"/>
  <c r="B253" i="21" l="1"/>
  <c r="D253" i="21"/>
  <c r="HH244" i="13"/>
  <c r="HI244" i="13"/>
  <c r="HF245" i="13"/>
  <c r="HG245" i="13" s="1"/>
  <c r="A254" i="21"/>
  <c r="GU247" i="13"/>
  <c r="GW246" i="13"/>
  <c r="GY246" i="13"/>
  <c r="GX246" i="13"/>
  <c r="GZ246" i="13"/>
  <c r="D254" i="21" l="1"/>
  <c r="B254" i="21"/>
  <c r="HH245" i="13"/>
  <c r="HI245" i="13"/>
  <c r="HF246" i="13"/>
  <c r="HG246" i="13" s="1"/>
  <c r="A255" i="21"/>
  <c r="GU248" i="13"/>
  <c r="GW247" i="13"/>
  <c r="GY247" i="13"/>
  <c r="GX247" i="13"/>
  <c r="GZ247" i="13"/>
  <c r="B255" i="21" l="1"/>
  <c r="D255" i="21"/>
  <c r="HH246" i="13"/>
  <c r="HI246" i="13"/>
  <c r="HF247" i="13"/>
  <c r="HG247" i="13" s="1"/>
  <c r="A256" i="21"/>
  <c r="GU249" i="13"/>
  <c r="GW248" i="13"/>
  <c r="GY248" i="13"/>
  <c r="GX248" i="13"/>
  <c r="GZ248" i="13"/>
  <c r="B256" i="21" l="1"/>
  <c r="D256" i="21"/>
  <c r="HH247" i="13"/>
  <c r="HI247" i="13"/>
  <c r="HF248" i="13"/>
  <c r="HG248" i="13" s="1"/>
  <c r="A257" i="21"/>
  <c r="GU250" i="13"/>
  <c r="GW249" i="13"/>
  <c r="GY249" i="13"/>
  <c r="GX249" i="13"/>
  <c r="GZ249" i="13"/>
  <c r="B257" i="21" l="1"/>
  <c r="D257" i="21"/>
  <c r="HH248" i="13"/>
  <c r="HI248" i="13"/>
  <c r="HF249" i="13"/>
  <c r="HG249" i="13" s="1"/>
  <c r="A258" i="21"/>
  <c r="GU251" i="13"/>
  <c r="GW250" i="13"/>
  <c r="GY250" i="13"/>
  <c r="GX250" i="13"/>
  <c r="GZ250" i="13"/>
  <c r="D258" i="21" l="1"/>
  <c r="B258" i="21"/>
  <c r="HH249" i="13"/>
  <c r="HI249" i="13"/>
  <c r="HF250" i="13"/>
  <c r="HG250" i="13" s="1"/>
  <c r="A259" i="21"/>
  <c r="GU252" i="13"/>
  <c r="GW251" i="13"/>
  <c r="GY251" i="13"/>
  <c r="GX251" i="13"/>
  <c r="GZ251" i="13"/>
  <c r="B259" i="21" l="1"/>
  <c r="D259" i="21"/>
  <c r="HH250" i="13"/>
  <c r="HI250" i="13"/>
  <c r="HF251" i="13"/>
  <c r="HG251" i="13" s="1"/>
  <c r="A260" i="21"/>
  <c r="GU253" i="13"/>
  <c r="GW252" i="13"/>
  <c r="GY252" i="13"/>
  <c r="GX252" i="13"/>
  <c r="GZ252" i="13"/>
  <c r="D260" i="21" l="1"/>
  <c r="B260" i="21"/>
  <c r="HH251" i="13"/>
  <c r="HI251" i="13"/>
  <c r="HF252" i="13"/>
  <c r="HG252" i="13" s="1"/>
  <c r="A261" i="21"/>
  <c r="GU254" i="13"/>
  <c r="GW253" i="13"/>
  <c r="GY253" i="13"/>
  <c r="GX253" i="13"/>
  <c r="GZ253" i="13"/>
  <c r="B261" i="21" l="1"/>
  <c r="D261" i="21"/>
  <c r="HH252" i="13"/>
  <c r="HI252" i="13"/>
  <c r="HF253" i="13"/>
  <c r="HG253" i="13" s="1"/>
  <c r="A262" i="21"/>
  <c r="GU255" i="13"/>
  <c r="GW254" i="13"/>
  <c r="GY254" i="13"/>
  <c r="GX254" i="13"/>
  <c r="GZ254" i="13"/>
  <c r="B262" i="21" l="1"/>
  <c r="D262" i="21"/>
  <c r="HH253" i="13"/>
  <c r="HI253" i="13"/>
  <c r="HF254" i="13"/>
  <c r="HG254" i="13" s="1"/>
  <c r="A263" i="21"/>
  <c r="GU256" i="13"/>
  <c r="GW255" i="13"/>
  <c r="GY255" i="13"/>
  <c r="GX255" i="13"/>
  <c r="GZ255" i="13"/>
  <c r="D263" i="21" l="1"/>
  <c r="B263" i="21"/>
  <c r="HH254" i="13"/>
  <c r="HI254" i="13"/>
  <c r="HF255" i="13"/>
  <c r="HG255" i="13" s="1"/>
  <c r="A264" i="21"/>
  <c r="GU257" i="13"/>
  <c r="GW256" i="13"/>
  <c r="GY256" i="13"/>
  <c r="GX256" i="13"/>
  <c r="GZ256" i="13"/>
  <c r="D264" i="21" l="1"/>
  <c r="B264" i="21"/>
  <c r="HH255" i="13"/>
  <c r="HI255" i="13"/>
  <c r="HF256" i="13"/>
  <c r="HG256" i="13" s="1"/>
  <c r="A265" i="21"/>
  <c r="GU258" i="13"/>
  <c r="GW257" i="13"/>
  <c r="GY257" i="13"/>
  <c r="GX257" i="13"/>
  <c r="GZ257" i="13"/>
  <c r="B265" i="21" l="1"/>
  <c r="D265" i="21"/>
  <c r="HH256" i="13"/>
  <c r="HI256" i="13"/>
  <c r="HF257" i="13"/>
  <c r="HG257" i="13" s="1"/>
  <c r="A266" i="21"/>
  <c r="GU259" i="13"/>
  <c r="GW258" i="13"/>
  <c r="GY258" i="13"/>
  <c r="GX258" i="13"/>
  <c r="GZ258" i="13"/>
  <c r="D266" i="21" l="1"/>
  <c r="B266" i="21"/>
  <c r="HH257" i="13"/>
  <c r="HI257" i="13"/>
  <c r="HF258" i="13"/>
  <c r="HG258" i="13" s="1"/>
  <c r="A267" i="21"/>
  <c r="GU260" i="13"/>
  <c r="GW259" i="13"/>
  <c r="GY259" i="13"/>
  <c r="GX259" i="13"/>
  <c r="GZ259" i="13"/>
  <c r="D267" i="21" l="1"/>
  <c r="B267" i="21"/>
  <c r="HH258" i="13"/>
  <c r="HI258" i="13"/>
  <c r="HF259" i="13"/>
  <c r="HG259" i="13" s="1"/>
  <c r="A268" i="21"/>
  <c r="GU261" i="13"/>
  <c r="GW260" i="13"/>
  <c r="GY260" i="13"/>
  <c r="GX260" i="13"/>
  <c r="GZ260" i="13"/>
  <c r="D268" i="21" l="1"/>
  <c r="B268" i="21"/>
  <c r="HH259" i="13"/>
  <c r="HI259" i="13"/>
  <c r="HF260" i="13"/>
  <c r="HG260" i="13" s="1"/>
  <c r="A269" i="21"/>
  <c r="GU262" i="13"/>
  <c r="GW261" i="13"/>
  <c r="GY261" i="13"/>
  <c r="GX261" i="13"/>
  <c r="GZ261" i="13"/>
  <c r="B269" i="21" l="1"/>
  <c r="D269" i="21"/>
  <c r="HH260" i="13"/>
  <c r="HI260" i="13"/>
  <c r="HF261" i="13"/>
  <c r="HG261" i="13" s="1"/>
  <c r="A270" i="21"/>
  <c r="GU263" i="13"/>
  <c r="GW262" i="13"/>
  <c r="GY262" i="13"/>
  <c r="GX262" i="13"/>
  <c r="GZ262" i="13"/>
  <c r="D270" i="21" l="1"/>
  <c r="B270" i="21"/>
  <c r="HH261" i="13"/>
  <c r="HI261" i="13"/>
  <c r="HF262" i="13"/>
  <c r="HG262" i="13" s="1"/>
  <c r="A271" i="21"/>
  <c r="GU264" i="13"/>
  <c r="GW263" i="13"/>
  <c r="GY263" i="13"/>
  <c r="GX263" i="13"/>
  <c r="GZ263" i="13"/>
  <c r="B271" i="21" l="1"/>
  <c r="D271" i="21"/>
  <c r="HH262" i="13"/>
  <c r="HI262" i="13"/>
  <c r="HF263" i="13"/>
  <c r="HG263" i="13" s="1"/>
  <c r="A272" i="21"/>
  <c r="GU265" i="13"/>
  <c r="GW264" i="13"/>
  <c r="GY264" i="13"/>
  <c r="GX264" i="13"/>
  <c r="GZ264" i="13"/>
  <c r="D272" i="21" l="1"/>
  <c r="B272" i="21"/>
  <c r="HH263" i="13"/>
  <c r="HI263" i="13"/>
  <c r="HF264" i="13"/>
  <c r="HG264" i="13" s="1"/>
  <c r="A273" i="21"/>
  <c r="GU266" i="13"/>
  <c r="GW265" i="13"/>
  <c r="GY265" i="13"/>
  <c r="GX265" i="13"/>
  <c r="GZ265" i="13"/>
  <c r="D273" i="21" l="1"/>
  <c r="B273" i="21"/>
  <c r="HH264" i="13"/>
  <c r="HI264" i="13"/>
  <c r="HF265" i="13"/>
  <c r="HG265" i="13" s="1"/>
  <c r="A274" i="21"/>
  <c r="GU267" i="13"/>
  <c r="GW266" i="13"/>
  <c r="GY266" i="13"/>
  <c r="GX266" i="13"/>
  <c r="GZ266" i="13"/>
  <c r="B274" i="21" l="1"/>
  <c r="D274" i="21"/>
  <c r="HH265" i="13"/>
  <c r="HI265" i="13"/>
  <c r="HF266" i="13"/>
  <c r="HG266" i="13" s="1"/>
  <c r="A275" i="21"/>
  <c r="GU268" i="13"/>
  <c r="GW267" i="13"/>
  <c r="GY267" i="13"/>
  <c r="GX267" i="13"/>
  <c r="GZ267" i="13"/>
  <c r="D275" i="21" l="1"/>
  <c r="B275" i="21"/>
  <c r="HH266" i="13"/>
  <c r="HI266" i="13"/>
  <c r="HF267" i="13"/>
  <c r="HG267" i="13" s="1"/>
  <c r="A276" i="21"/>
  <c r="GU269" i="13"/>
  <c r="GW268" i="13"/>
  <c r="GY268" i="13"/>
  <c r="GX268" i="13"/>
  <c r="GZ268" i="13"/>
  <c r="D276" i="21" l="1"/>
  <c r="B276" i="21"/>
  <c r="HH267" i="13"/>
  <c r="HI267" i="13"/>
  <c r="HF268" i="13"/>
  <c r="HG268" i="13" s="1"/>
  <c r="A277" i="21"/>
  <c r="GU270" i="13"/>
  <c r="GW269" i="13"/>
  <c r="GY269" i="13"/>
  <c r="GX269" i="13"/>
  <c r="GZ269" i="13"/>
  <c r="D277" i="21" l="1"/>
  <c r="B277" i="21"/>
  <c r="HH268" i="13"/>
  <c r="HI268" i="13"/>
  <c r="HF269" i="13"/>
  <c r="HG269" i="13" s="1"/>
  <c r="A278" i="21"/>
  <c r="GU271" i="13"/>
  <c r="GW270" i="13"/>
  <c r="GY270" i="13"/>
  <c r="GX270" i="13"/>
  <c r="GZ270" i="13"/>
  <c r="B278" i="21" l="1"/>
  <c r="D278" i="21"/>
  <c r="HH269" i="13"/>
  <c r="HI269" i="13"/>
  <c r="HF270" i="13"/>
  <c r="HG270" i="13" s="1"/>
  <c r="A279" i="21"/>
  <c r="GU272" i="13"/>
  <c r="GW271" i="13"/>
  <c r="GY271" i="13"/>
  <c r="GX271" i="13"/>
  <c r="GZ271" i="13"/>
  <c r="B279" i="21" l="1"/>
  <c r="D279" i="21"/>
  <c r="HH270" i="13"/>
  <c r="HI270" i="13"/>
  <c r="HF271" i="13"/>
  <c r="HG271" i="13" s="1"/>
  <c r="A280" i="21"/>
  <c r="GU273" i="13"/>
  <c r="GW272" i="13"/>
  <c r="GY272" i="13"/>
  <c r="GX272" i="13"/>
  <c r="GZ272" i="13"/>
  <c r="D280" i="21" l="1"/>
  <c r="B280" i="21"/>
  <c r="HH271" i="13"/>
  <c r="HI271" i="13"/>
  <c r="HF272" i="13"/>
  <c r="HG272" i="13" s="1"/>
  <c r="A281" i="21"/>
  <c r="GU274" i="13"/>
  <c r="GW273" i="13"/>
  <c r="GY273" i="13"/>
  <c r="GX273" i="13"/>
  <c r="GZ273" i="13"/>
  <c r="D281" i="21" l="1"/>
  <c r="B281" i="21"/>
  <c r="HH272" i="13"/>
  <c r="HI272" i="13"/>
  <c r="HF273" i="13"/>
  <c r="HG273" i="13" s="1"/>
  <c r="A282" i="21"/>
  <c r="GU275" i="13"/>
  <c r="GW274" i="13"/>
  <c r="GY274" i="13"/>
  <c r="GX274" i="13"/>
  <c r="GZ274" i="13"/>
  <c r="D282" i="21" l="1"/>
  <c r="B282" i="21"/>
  <c r="HH273" i="13"/>
  <c r="HI273" i="13"/>
  <c r="HF274" i="13"/>
  <c r="HG274" i="13" s="1"/>
  <c r="A283" i="21"/>
  <c r="GU276" i="13"/>
  <c r="GW275" i="13"/>
  <c r="GY275" i="13"/>
  <c r="GX275" i="13"/>
  <c r="GZ275" i="13"/>
  <c r="D283" i="21" l="1"/>
  <c r="B283" i="21"/>
  <c r="HH274" i="13"/>
  <c r="HI274" i="13"/>
  <c r="HF275" i="13"/>
  <c r="HG275" i="13" s="1"/>
  <c r="A284" i="21"/>
  <c r="GU277" i="13"/>
  <c r="GW276" i="13"/>
  <c r="GY276" i="13"/>
  <c r="GX276" i="13"/>
  <c r="GZ276" i="13"/>
  <c r="B284" i="21" l="1"/>
  <c r="D284" i="21"/>
  <c r="HH275" i="13"/>
  <c r="HI275" i="13"/>
  <c r="HF276" i="13"/>
  <c r="HG276" i="13" s="1"/>
  <c r="A285" i="21"/>
  <c r="GU278" i="13"/>
  <c r="GW277" i="13"/>
  <c r="GY277" i="13"/>
  <c r="GX277" i="13"/>
  <c r="GZ277" i="13"/>
  <c r="B285" i="21" l="1"/>
  <c r="D285" i="21"/>
  <c r="HH276" i="13"/>
  <c r="HI276" i="13"/>
  <c r="HF277" i="13"/>
  <c r="HG277" i="13" s="1"/>
  <c r="A286" i="21"/>
  <c r="GU279" i="13"/>
  <c r="GW278" i="13"/>
  <c r="GY278" i="13"/>
  <c r="GX278" i="13"/>
  <c r="GZ278" i="13"/>
  <c r="D286" i="21" l="1"/>
  <c r="B286" i="21"/>
  <c r="HH277" i="13"/>
  <c r="HI277" i="13"/>
  <c r="HF278" i="13"/>
  <c r="HG278" i="13" s="1"/>
  <c r="A287" i="21"/>
  <c r="GU280" i="13"/>
  <c r="GW279" i="13"/>
  <c r="GY279" i="13"/>
  <c r="GX279" i="13"/>
  <c r="GZ279" i="13"/>
  <c r="B287" i="21" l="1"/>
  <c r="D287" i="21"/>
  <c r="HH278" i="13"/>
  <c r="HI278" i="13"/>
  <c r="HF279" i="13"/>
  <c r="HG279" i="13" s="1"/>
  <c r="A288" i="21"/>
  <c r="GU281" i="13"/>
  <c r="GW280" i="13"/>
  <c r="GY280" i="13"/>
  <c r="GX280" i="13"/>
  <c r="GZ280" i="13"/>
  <c r="D288" i="21" l="1"/>
  <c r="B288" i="21"/>
  <c r="HH279" i="13"/>
  <c r="HI279" i="13"/>
  <c r="HF280" i="13"/>
  <c r="HG280" i="13" s="1"/>
  <c r="A289" i="21"/>
  <c r="GU282" i="13"/>
  <c r="GW281" i="13"/>
  <c r="GY281" i="13"/>
  <c r="GX281" i="13"/>
  <c r="GZ281" i="13"/>
  <c r="D289" i="21" l="1"/>
  <c r="B289" i="21"/>
  <c r="HH280" i="13"/>
  <c r="HI280" i="13"/>
  <c r="HF281" i="13"/>
  <c r="HG281" i="13" s="1"/>
  <c r="A290" i="21"/>
  <c r="GU283" i="13"/>
  <c r="GW282" i="13"/>
  <c r="GY282" i="13"/>
  <c r="GX282" i="13"/>
  <c r="GZ282" i="13"/>
  <c r="D290" i="21" l="1"/>
  <c r="B290" i="21"/>
  <c r="HH281" i="13"/>
  <c r="HI281" i="13"/>
  <c r="HF282" i="13"/>
  <c r="HG282" i="13" s="1"/>
  <c r="A291" i="21"/>
  <c r="GU284" i="13"/>
  <c r="GW283" i="13"/>
  <c r="GY283" i="13"/>
  <c r="GX283" i="13"/>
  <c r="GZ283" i="13"/>
  <c r="B291" i="21" l="1"/>
  <c r="D291" i="21"/>
  <c r="HH282" i="13"/>
  <c r="HI282" i="13"/>
  <c r="HF283" i="13"/>
  <c r="HG283" i="13" s="1"/>
  <c r="A292" i="21"/>
  <c r="GU285" i="13"/>
  <c r="GW284" i="13"/>
  <c r="GY284" i="13"/>
  <c r="GX284" i="13"/>
  <c r="GZ284" i="13"/>
  <c r="D292" i="21" l="1"/>
  <c r="B292" i="21"/>
  <c r="HH283" i="13"/>
  <c r="HI283" i="13"/>
  <c r="HF284" i="13"/>
  <c r="HG284" i="13" s="1"/>
  <c r="A293" i="21"/>
  <c r="GU286" i="13"/>
  <c r="GW285" i="13"/>
  <c r="GY285" i="13"/>
  <c r="GX285" i="13"/>
  <c r="GZ285" i="13"/>
  <c r="D293" i="21" l="1"/>
  <c r="B293" i="21"/>
  <c r="HH284" i="13"/>
  <c r="HI284" i="13"/>
  <c r="HF285" i="13"/>
  <c r="HG285" i="13" s="1"/>
  <c r="A294" i="21"/>
  <c r="GU287" i="13"/>
  <c r="GW286" i="13"/>
  <c r="GY286" i="13"/>
  <c r="GX286" i="13"/>
  <c r="GZ286" i="13"/>
  <c r="B294" i="21" l="1"/>
  <c r="D294" i="21"/>
  <c r="HH285" i="13"/>
  <c r="HI285" i="13"/>
  <c r="HF286" i="13"/>
  <c r="HG286" i="13" s="1"/>
  <c r="A295" i="21"/>
  <c r="GU288" i="13"/>
  <c r="GW287" i="13"/>
  <c r="GY287" i="13"/>
  <c r="GX287" i="13"/>
  <c r="GZ287" i="13"/>
  <c r="B295" i="21" l="1"/>
  <c r="D295" i="21"/>
  <c r="HH286" i="13"/>
  <c r="HI286" i="13"/>
  <c r="HF287" i="13"/>
  <c r="HG287" i="13" s="1"/>
  <c r="A296" i="21"/>
  <c r="GU289" i="13"/>
  <c r="GW288" i="13"/>
  <c r="GY288" i="13"/>
  <c r="GX288" i="13"/>
  <c r="GZ288" i="13"/>
  <c r="B296" i="21" l="1"/>
  <c r="D296" i="21"/>
  <c r="HH287" i="13"/>
  <c r="HI287" i="13"/>
  <c r="HF288" i="13"/>
  <c r="HG288" i="13" s="1"/>
  <c r="A297" i="21"/>
  <c r="GU290" i="13"/>
  <c r="GW289" i="13"/>
  <c r="GY289" i="13"/>
  <c r="GX289" i="13"/>
  <c r="GZ289" i="13"/>
  <c r="B297" i="21" l="1"/>
  <c r="D297" i="21"/>
  <c r="HH288" i="13"/>
  <c r="HI288" i="13"/>
  <c r="HF289" i="13"/>
  <c r="HG289" i="13" s="1"/>
  <c r="A298" i="21"/>
  <c r="GU291" i="13"/>
  <c r="GW290" i="13"/>
  <c r="GY290" i="13"/>
  <c r="GX290" i="13"/>
  <c r="GZ290" i="13"/>
  <c r="D298" i="21" l="1"/>
  <c r="B298" i="21"/>
  <c r="HH289" i="13"/>
  <c r="HI289" i="13"/>
  <c r="HF290" i="13"/>
  <c r="HG290" i="13" s="1"/>
  <c r="A299" i="21"/>
  <c r="GU292" i="13"/>
  <c r="GW291" i="13"/>
  <c r="GY291" i="13"/>
  <c r="GX291" i="13"/>
  <c r="GZ291" i="13"/>
  <c r="D299" i="21" l="1"/>
  <c r="B299" i="21"/>
  <c r="HH290" i="13"/>
  <c r="HI290" i="13"/>
  <c r="HF291" i="13"/>
  <c r="HG291" i="13" s="1"/>
  <c r="A300" i="21"/>
  <c r="GU293" i="13"/>
  <c r="GW292" i="13"/>
  <c r="GY292" i="13"/>
  <c r="GX292" i="13"/>
  <c r="GZ292" i="13"/>
  <c r="D300" i="21" l="1"/>
  <c r="B300" i="21"/>
  <c r="HH291" i="13"/>
  <c r="HI291" i="13"/>
  <c r="HF292" i="13"/>
  <c r="HG292" i="13" s="1"/>
  <c r="A301" i="21"/>
  <c r="GU294" i="13"/>
  <c r="GW293" i="13"/>
  <c r="GY293" i="13"/>
  <c r="GX293" i="13"/>
  <c r="GZ293" i="13"/>
  <c r="D301" i="21" l="1"/>
  <c r="B301" i="21"/>
  <c r="HH292" i="13"/>
  <c r="HI292" i="13"/>
  <c r="HF293" i="13"/>
  <c r="HG293" i="13" s="1"/>
  <c r="A302" i="21"/>
  <c r="GU295" i="13"/>
  <c r="GW294" i="13"/>
  <c r="GY294" i="13"/>
  <c r="GX294" i="13"/>
  <c r="GZ294" i="13"/>
  <c r="B302" i="21" l="1"/>
  <c r="D302" i="21"/>
  <c r="HH293" i="13"/>
  <c r="HI293" i="13"/>
  <c r="HF294" i="13"/>
  <c r="HG294" i="13" s="1"/>
  <c r="A303" i="21"/>
  <c r="GU296" i="13"/>
  <c r="GW295" i="13"/>
  <c r="GY295" i="13"/>
  <c r="GX295" i="13"/>
  <c r="GZ295" i="13"/>
  <c r="B303" i="21" l="1"/>
  <c r="D303" i="21"/>
  <c r="HH294" i="13"/>
  <c r="HI294" i="13"/>
  <c r="HF295" i="13"/>
  <c r="HG295" i="13" s="1"/>
  <c r="A304" i="21"/>
  <c r="GU297" i="13"/>
  <c r="GW296" i="13"/>
  <c r="GY296" i="13"/>
  <c r="GX296" i="13"/>
  <c r="GZ296" i="13"/>
  <c r="D304" i="21" l="1"/>
  <c r="B304" i="21"/>
  <c r="HH295" i="13"/>
  <c r="HI295" i="13"/>
  <c r="HF296" i="13"/>
  <c r="HG296" i="13" s="1"/>
  <c r="A305" i="21"/>
  <c r="GU298" i="13"/>
  <c r="GW297" i="13"/>
  <c r="GY297" i="13"/>
  <c r="GX297" i="13"/>
  <c r="GZ297" i="13"/>
  <c r="D305" i="21" l="1"/>
  <c r="B305" i="21"/>
  <c r="HH296" i="13"/>
  <c r="HI296" i="13"/>
  <c r="HF297" i="13"/>
  <c r="HG297" i="13" s="1"/>
  <c r="A306" i="21"/>
  <c r="GU299" i="13"/>
  <c r="GW298" i="13"/>
  <c r="GY298" i="13"/>
  <c r="GX298" i="13"/>
  <c r="GZ298" i="13"/>
  <c r="B306" i="21" l="1"/>
  <c r="D306" i="21"/>
  <c r="HH297" i="13"/>
  <c r="HI297" i="13"/>
  <c r="HF298" i="13"/>
  <c r="HG298" i="13" s="1"/>
  <c r="A307" i="21"/>
  <c r="GU300" i="13"/>
  <c r="GW299" i="13"/>
  <c r="GY299" i="13"/>
  <c r="GX299" i="13"/>
  <c r="GZ299" i="13"/>
  <c r="B307" i="21" l="1"/>
  <c r="D307" i="21"/>
  <c r="HH298" i="13"/>
  <c r="HI298" i="13"/>
  <c r="HF299" i="13"/>
  <c r="HG299" i="13" s="1"/>
  <c r="A308" i="21"/>
  <c r="GU301" i="13"/>
  <c r="GW300" i="13"/>
  <c r="GY300" i="13"/>
  <c r="GX300" i="13"/>
  <c r="GZ300" i="13"/>
  <c r="D308" i="21" l="1"/>
  <c r="B308" i="21"/>
  <c r="HH299" i="13"/>
  <c r="HI299" i="13"/>
  <c r="HF300" i="13"/>
  <c r="HG300" i="13" s="1"/>
  <c r="A309" i="21"/>
  <c r="GU302" i="13"/>
  <c r="GW301" i="13"/>
  <c r="GY301" i="13"/>
  <c r="GX301" i="13"/>
  <c r="GZ301" i="13"/>
  <c r="B309" i="21" l="1"/>
  <c r="D309" i="21"/>
  <c r="HH300" i="13"/>
  <c r="HI300" i="13"/>
  <c r="HF301" i="13"/>
  <c r="HG301" i="13" s="1"/>
  <c r="A310" i="21"/>
  <c r="GU303" i="13"/>
  <c r="GW302" i="13"/>
  <c r="GY302" i="13"/>
  <c r="GX302" i="13"/>
  <c r="GZ302" i="13"/>
  <c r="D310" i="21" l="1"/>
  <c r="B310" i="21"/>
  <c r="HH301" i="13"/>
  <c r="HI301" i="13"/>
  <c r="HF302" i="13"/>
  <c r="HG302" i="13" s="1"/>
  <c r="A311" i="21"/>
  <c r="GU304" i="13"/>
  <c r="GW303" i="13"/>
  <c r="GY303" i="13"/>
  <c r="GX303" i="13"/>
  <c r="GZ303" i="13"/>
  <c r="B311" i="21" l="1"/>
  <c r="D311" i="21"/>
  <c r="HH302" i="13"/>
  <c r="HI302" i="13"/>
  <c r="HF303" i="13"/>
  <c r="HG303" i="13" s="1"/>
  <c r="A312" i="21"/>
  <c r="GU305" i="13"/>
  <c r="GW304" i="13"/>
  <c r="GY304" i="13"/>
  <c r="GX304" i="13"/>
  <c r="GZ304" i="13"/>
  <c r="D312" i="21" l="1"/>
  <c r="B312" i="21"/>
  <c r="HH303" i="13"/>
  <c r="HI303" i="13"/>
  <c r="HF304" i="13"/>
  <c r="HG304" i="13" s="1"/>
  <c r="A313" i="21"/>
  <c r="GU306" i="13"/>
  <c r="GW305" i="13"/>
  <c r="GY305" i="13"/>
  <c r="GX305" i="13"/>
  <c r="GZ305" i="13"/>
  <c r="B313" i="21" l="1"/>
  <c r="D313" i="21"/>
  <c r="HH304" i="13"/>
  <c r="HI304" i="13"/>
  <c r="HF305" i="13"/>
  <c r="HG305" i="13" s="1"/>
  <c r="A314" i="21"/>
  <c r="GU307" i="13"/>
  <c r="GW306" i="13"/>
  <c r="GY306" i="13"/>
  <c r="GX306" i="13"/>
  <c r="GZ306" i="13"/>
  <c r="D314" i="21" l="1"/>
  <c r="B314" i="21"/>
  <c r="HH305" i="13"/>
  <c r="HI305" i="13"/>
  <c r="HF306" i="13"/>
  <c r="HG306" i="13" s="1"/>
  <c r="A315" i="21"/>
  <c r="GU308" i="13"/>
  <c r="GW307" i="13"/>
  <c r="GY307" i="13"/>
  <c r="GX307" i="13"/>
  <c r="GZ307" i="13"/>
  <c r="B315" i="21" l="1"/>
  <c r="D315" i="21"/>
  <c r="HH306" i="13"/>
  <c r="HI306" i="13"/>
  <c r="HF307" i="13"/>
  <c r="HG307" i="13" s="1"/>
  <c r="A316" i="21"/>
  <c r="GU309" i="13"/>
  <c r="GW308" i="13"/>
  <c r="GY308" i="13"/>
  <c r="GX308" i="13"/>
  <c r="GZ308" i="13"/>
  <c r="B316" i="21" l="1"/>
  <c r="D316" i="21"/>
  <c r="HH307" i="13"/>
  <c r="HI307" i="13"/>
  <c r="HF308" i="13"/>
  <c r="HG308" i="13" s="1"/>
  <c r="A317" i="21"/>
  <c r="GU310" i="13"/>
  <c r="GW309" i="13"/>
  <c r="GY309" i="13"/>
  <c r="GX309" i="13"/>
  <c r="GZ309" i="13"/>
  <c r="B317" i="21" l="1"/>
  <c r="D317" i="21"/>
  <c r="HH308" i="13"/>
  <c r="HI308" i="13"/>
  <c r="HF309" i="13"/>
  <c r="HG309" i="13" s="1"/>
  <c r="A318" i="21"/>
  <c r="GU311" i="13"/>
  <c r="GW310" i="13"/>
  <c r="GY310" i="13"/>
  <c r="GX310" i="13"/>
  <c r="GZ310" i="13"/>
  <c r="D318" i="21" l="1"/>
  <c r="B318" i="21"/>
  <c r="HH309" i="13"/>
  <c r="HI309" i="13"/>
  <c r="HF310" i="13"/>
  <c r="HG310" i="13" s="1"/>
  <c r="A319" i="21"/>
  <c r="GU312" i="13"/>
  <c r="GW311" i="13"/>
  <c r="GY311" i="13"/>
  <c r="GX311" i="13"/>
  <c r="GZ311" i="13"/>
  <c r="D319" i="21" l="1"/>
  <c r="B319" i="21"/>
  <c r="HH310" i="13"/>
  <c r="HI310" i="13"/>
  <c r="HF311" i="13"/>
  <c r="HG311" i="13" s="1"/>
  <c r="A320" i="21"/>
  <c r="GU313" i="13"/>
  <c r="GW312" i="13"/>
  <c r="GY312" i="13"/>
  <c r="GX312" i="13"/>
  <c r="GZ312" i="13"/>
  <c r="B320" i="21" l="1"/>
  <c r="D320" i="21"/>
  <c r="HH311" i="13"/>
  <c r="HI311" i="13"/>
  <c r="HF312" i="13"/>
  <c r="HG312" i="13" s="1"/>
  <c r="A321" i="21"/>
  <c r="GU314" i="13"/>
  <c r="GW313" i="13"/>
  <c r="GY313" i="13"/>
  <c r="GX313" i="13"/>
  <c r="GZ313" i="13"/>
  <c r="B321" i="21" l="1"/>
  <c r="D321" i="21"/>
  <c r="HH312" i="13"/>
  <c r="HI312" i="13"/>
  <c r="HF313" i="13"/>
  <c r="HG313" i="13" s="1"/>
  <c r="A322" i="21"/>
  <c r="GU315" i="13"/>
  <c r="GW314" i="13"/>
  <c r="GY314" i="13"/>
  <c r="GX314" i="13"/>
  <c r="GZ314" i="13"/>
  <c r="D322" i="21" l="1"/>
  <c r="B322" i="21"/>
  <c r="HH313" i="13"/>
  <c r="HI313" i="13"/>
  <c r="HF314" i="13"/>
  <c r="HG314" i="13" s="1"/>
  <c r="A323" i="21"/>
  <c r="GU316" i="13"/>
  <c r="GW315" i="13"/>
  <c r="GY315" i="13"/>
  <c r="GX315" i="13"/>
  <c r="GZ315" i="13"/>
  <c r="D323" i="21" l="1"/>
  <c r="B323" i="21"/>
  <c r="HH314" i="13"/>
  <c r="HI314" i="13"/>
  <c r="HF315" i="13"/>
  <c r="HG315" i="13" s="1"/>
  <c r="A324" i="21"/>
  <c r="GU317" i="13"/>
  <c r="GW316" i="13"/>
  <c r="GY316" i="13"/>
  <c r="GX316" i="13"/>
  <c r="GZ316" i="13"/>
  <c r="D324" i="21" l="1"/>
  <c r="B324" i="21"/>
  <c r="HH315" i="13"/>
  <c r="HI315" i="13"/>
  <c r="HF316" i="13"/>
  <c r="HG316" i="13" s="1"/>
  <c r="A325" i="21"/>
  <c r="GU318" i="13"/>
  <c r="GW317" i="13"/>
  <c r="GY317" i="13"/>
  <c r="GX317" i="13"/>
  <c r="GZ317" i="13"/>
  <c r="D325" i="21" l="1"/>
  <c r="B325" i="21"/>
  <c r="HH316" i="13"/>
  <c r="HI316" i="13"/>
  <c r="HF317" i="13"/>
  <c r="HG317" i="13" s="1"/>
  <c r="A326" i="21"/>
  <c r="GU319" i="13"/>
  <c r="GW318" i="13"/>
  <c r="GY318" i="13"/>
  <c r="GX318" i="13"/>
  <c r="GZ318" i="13"/>
  <c r="B326" i="21" l="1"/>
  <c r="D326" i="21"/>
  <c r="HH317" i="13"/>
  <c r="HI317" i="13"/>
  <c r="HF318" i="13"/>
  <c r="HG318" i="13" s="1"/>
  <c r="A327" i="21"/>
  <c r="GU320" i="13"/>
  <c r="GW319" i="13"/>
  <c r="GY319" i="13"/>
  <c r="GX319" i="13"/>
  <c r="GZ319" i="13"/>
  <c r="D327" i="21" l="1"/>
  <c r="B327" i="21"/>
  <c r="HH318" i="13"/>
  <c r="HI318" i="13"/>
  <c r="HF319" i="13"/>
  <c r="HG319" i="13" s="1"/>
  <c r="A328" i="21"/>
  <c r="GU321" i="13"/>
  <c r="GW320" i="13"/>
  <c r="GY320" i="13"/>
  <c r="GX320" i="13"/>
  <c r="GZ320" i="13"/>
  <c r="B328" i="21" l="1"/>
  <c r="D328" i="21"/>
  <c r="HH319" i="13"/>
  <c r="HI319" i="13"/>
  <c r="HF320" i="13"/>
  <c r="HG320" i="13" s="1"/>
  <c r="A329" i="21"/>
  <c r="GU322" i="13"/>
  <c r="GW321" i="13"/>
  <c r="GY321" i="13"/>
  <c r="GX321" i="13"/>
  <c r="GZ321" i="13"/>
  <c r="D329" i="21" l="1"/>
  <c r="B329" i="21"/>
  <c r="HH320" i="13"/>
  <c r="HI320" i="13"/>
  <c r="HF321" i="13"/>
  <c r="HG321" i="13" s="1"/>
  <c r="A330" i="21"/>
  <c r="GU323" i="13"/>
  <c r="GW322" i="13"/>
  <c r="GY322" i="13"/>
  <c r="GX322" i="13"/>
  <c r="GZ322" i="13"/>
  <c r="D330" i="21" l="1"/>
  <c r="B330" i="21"/>
  <c r="HH321" i="13"/>
  <c r="HI321" i="13"/>
  <c r="HF322" i="13"/>
  <c r="HG322" i="13" s="1"/>
  <c r="A331" i="21"/>
  <c r="GU324" i="13"/>
  <c r="GW323" i="13"/>
  <c r="GY323" i="13"/>
  <c r="GX323" i="13"/>
  <c r="GZ323" i="13"/>
  <c r="B331" i="21" l="1"/>
  <c r="D331" i="21"/>
  <c r="HH322" i="13"/>
  <c r="HI322" i="13"/>
  <c r="HF323" i="13"/>
  <c r="HG323" i="13" s="1"/>
  <c r="A332" i="21"/>
  <c r="GU325" i="13"/>
  <c r="GW324" i="13"/>
  <c r="GY324" i="13"/>
  <c r="GX324" i="13"/>
  <c r="GZ324" i="13"/>
  <c r="D332" i="21" l="1"/>
  <c r="B332" i="21"/>
  <c r="HH323" i="13"/>
  <c r="HI323" i="13"/>
  <c r="HF324" i="13"/>
  <c r="HG324" i="13" s="1"/>
  <c r="A333" i="21"/>
  <c r="GU326" i="13"/>
  <c r="GW325" i="13"/>
  <c r="GY325" i="13"/>
  <c r="GX325" i="13"/>
  <c r="GZ325" i="13"/>
  <c r="B333" i="21" l="1"/>
  <c r="D333" i="21"/>
  <c r="HH324" i="13"/>
  <c r="HI324" i="13"/>
  <c r="HF325" i="13"/>
  <c r="HG325" i="13" s="1"/>
  <c r="A334" i="21"/>
  <c r="GU327" i="13"/>
  <c r="GW326" i="13"/>
  <c r="GY326" i="13"/>
  <c r="GX326" i="13"/>
  <c r="GZ326" i="13"/>
  <c r="B334" i="21" l="1"/>
  <c r="D334" i="21"/>
  <c r="HH325" i="13"/>
  <c r="HI325" i="13"/>
  <c r="HF326" i="13"/>
  <c r="HG326" i="13" s="1"/>
  <c r="A335" i="21"/>
  <c r="GU328" i="13"/>
  <c r="GW327" i="13"/>
  <c r="GY327" i="13"/>
  <c r="GX327" i="13"/>
  <c r="GZ327" i="13"/>
  <c r="D335" i="21" l="1"/>
  <c r="B335" i="21"/>
  <c r="HH326" i="13"/>
  <c r="HI326" i="13"/>
  <c r="HF327" i="13"/>
  <c r="HG327" i="13" s="1"/>
  <c r="A336" i="21"/>
  <c r="GU329" i="13"/>
  <c r="GW328" i="13"/>
  <c r="GY328" i="13"/>
  <c r="GX328" i="13"/>
  <c r="GZ328" i="13"/>
  <c r="D336" i="21" l="1"/>
  <c r="B336" i="21"/>
  <c r="HH327" i="13"/>
  <c r="HI327" i="13"/>
  <c r="HF328" i="13"/>
  <c r="HG328" i="13" s="1"/>
  <c r="A337" i="21"/>
  <c r="GU330" i="13"/>
  <c r="GW329" i="13"/>
  <c r="GY329" i="13"/>
  <c r="GX329" i="13"/>
  <c r="GZ329" i="13"/>
  <c r="D337" i="21" l="1"/>
  <c r="B337" i="21"/>
  <c r="HH328" i="13"/>
  <c r="HI328" i="13"/>
  <c r="HF329" i="13"/>
  <c r="HG329" i="13" s="1"/>
  <c r="A338" i="21"/>
  <c r="GU331" i="13"/>
  <c r="GW330" i="13"/>
  <c r="GY330" i="13"/>
  <c r="GX330" i="13"/>
  <c r="GZ330" i="13"/>
  <c r="B338" i="21" l="1"/>
  <c r="D338" i="21"/>
  <c r="HH329" i="13"/>
  <c r="HI329" i="13"/>
  <c r="HF330" i="13"/>
  <c r="HG330" i="13" s="1"/>
  <c r="A339" i="21"/>
  <c r="GU332" i="13"/>
  <c r="GW331" i="13"/>
  <c r="GY331" i="13"/>
  <c r="GX331" i="13"/>
  <c r="GZ331" i="13"/>
  <c r="B339" i="21" l="1"/>
  <c r="D339" i="21"/>
  <c r="HH330" i="13"/>
  <c r="HI330" i="13"/>
  <c r="HF331" i="13"/>
  <c r="HG331" i="13" s="1"/>
  <c r="A340" i="21"/>
  <c r="GU333" i="13"/>
  <c r="GW332" i="13"/>
  <c r="GY332" i="13"/>
  <c r="GX332" i="13"/>
  <c r="GZ332" i="13"/>
  <c r="D340" i="21" l="1"/>
  <c r="B340" i="21"/>
  <c r="HH331" i="13"/>
  <c r="HI331" i="13"/>
  <c r="HF332" i="13"/>
  <c r="HG332" i="13" s="1"/>
  <c r="A341" i="21"/>
  <c r="GU334" i="13"/>
  <c r="GW333" i="13"/>
  <c r="GY333" i="13"/>
  <c r="GX333" i="13"/>
  <c r="GZ333" i="13"/>
  <c r="D341" i="21" l="1"/>
  <c r="B341" i="21"/>
  <c r="HH332" i="13"/>
  <c r="HI332" i="13"/>
  <c r="HF333" i="13"/>
  <c r="HG333" i="13" s="1"/>
  <c r="A342" i="21"/>
  <c r="GU335" i="13"/>
  <c r="GW334" i="13"/>
  <c r="GY334" i="13"/>
  <c r="GX334" i="13"/>
  <c r="GZ334" i="13"/>
  <c r="D342" i="21" l="1"/>
  <c r="B342" i="21"/>
  <c r="HH333" i="13"/>
  <c r="HI333" i="13"/>
  <c r="HF334" i="13"/>
  <c r="HG334" i="13" s="1"/>
  <c r="A343" i="21"/>
  <c r="GU336" i="13"/>
  <c r="GW335" i="13"/>
  <c r="GY335" i="13"/>
  <c r="GX335" i="13"/>
  <c r="GZ335" i="13"/>
  <c r="B343" i="21" l="1"/>
  <c r="D343" i="21"/>
  <c r="HH334" i="13"/>
  <c r="HI334" i="13"/>
  <c r="HF335" i="13"/>
  <c r="HG335" i="13" s="1"/>
  <c r="A344" i="21"/>
  <c r="GU337" i="13"/>
  <c r="GW336" i="13"/>
  <c r="GY336" i="13"/>
  <c r="GX336" i="13"/>
  <c r="GZ336" i="13"/>
  <c r="D344" i="21" l="1"/>
  <c r="B344" i="21"/>
  <c r="HH335" i="13"/>
  <c r="HI335" i="13"/>
  <c r="HF336" i="13"/>
  <c r="HG336" i="13" s="1"/>
  <c r="A345" i="21"/>
  <c r="GU338" i="13"/>
  <c r="GW337" i="13"/>
  <c r="GY337" i="13"/>
  <c r="GX337" i="13"/>
  <c r="GZ337" i="13"/>
  <c r="D345" i="21" l="1"/>
  <c r="B345" i="21"/>
  <c r="HH336" i="13"/>
  <c r="HI336" i="13"/>
  <c r="HF337" i="13"/>
  <c r="HG337" i="13" s="1"/>
  <c r="A346" i="21"/>
  <c r="GU339" i="13"/>
  <c r="GW338" i="13"/>
  <c r="GY338" i="13"/>
  <c r="GX338" i="13"/>
  <c r="GZ338" i="13"/>
  <c r="B346" i="21" l="1"/>
  <c r="D346" i="21"/>
  <c r="HH337" i="13"/>
  <c r="HI337" i="13"/>
  <c r="HF338" i="13"/>
  <c r="HG338" i="13" s="1"/>
  <c r="A347" i="21"/>
  <c r="GU340" i="13"/>
  <c r="GW339" i="13"/>
  <c r="GY339" i="13"/>
  <c r="GX339" i="13"/>
  <c r="GZ339" i="13"/>
  <c r="B347" i="21" l="1"/>
  <c r="D347" i="21"/>
  <c r="HH338" i="13"/>
  <c r="HI338" i="13"/>
  <c r="HF339" i="13"/>
  <c r="HG339" i="13" s="1"/>
  <c r="A348" i="21"/>
  <c r="GU341" i="13"/>
  <c r="GW340" i="13"/>
  <c r="GY340" i="13"/>
  <c r="GX340" i="13"/>
  <c r="GZ340" i="13"/>
  <c r="B348" i="21" l="1"/>
  <c r="D348" i="21"/>
  <c r="HH339" i="13"/>
  <c r="HI339" i="13"/>
  <c r="HF340" i="13"/>
  <c r="HG340" i="13" s="1"/>
  <c r="A349" i="21"/>
  <c r="GU342" i="13"/>
  <c r="GW341" i="13"/>
  <c r="GY341" i="13"/>
  <c r="GX341" i="13"/>
  <c r="GZ341" i="13"/>
  <c r="B349" i="21" l="1"/>
  <c r="D349" i="21"/>
  <c r="HH340" i="13"/>
  <c r="HI340" i="13"/>
  <c r="HF341" i="13"/>
  <c r="HG341" i="13" s="1"/>
  <c r="A350" i="21"/>
  <c r="GU343" i="13"/>
  <c r="GW342" i="13"/>
  <c r="GY342" i="13"/>
  <c r="GX342" i="13"/>
  <c r="GZ342" i="13"/>
  <c r="D350" i="21" l="1"/>
  <c r="B350" i="21"/>
  <c r="HH341" i="13"/>
  <c r="HI341" i="13"/>
  <c r="HF342" i="13"/>
  <c r="HG342" i="13" s="1"/>
  <c r="A351" i="21"/>
  <c r="GU344" i="13"/>
  <c r="GW343" i="13"/>
  <c r="GY343" i="13"/>
  <c r="GX343" i="13"/>
  <c r="GZ343" i="13"/>
  <c r="B351" i="21" l="1"/>
  <c r="D351" i="21"/>
  <c r="HH342" i="13"/>
  <c r="HI342" i="13"/>
  <c r="HF343" i="13"/>
  <c r="HG343" i="13" s="1"/>
  <c r="A352" i="21"/>
  <c r="GU345" i="13"/>
  <c r="GW344" i="13"/>
  <c r="GY344" i="13"/>
  <c r="GX344" i="13"/>
  <c r="GZ344" i="13"/>
  <c r="B352" i="21" l="1"/>
  <c r="D352" i="21"/>
  <c r="HH343" i="13"/>
  <c r="HI343" i="13"/>
  <c r="HF344" i="13"/>
  <c r="HG344" i="13" s="1"/>
  <c r="A353" i="21"/>
  <c r="GU346" i="13"/>
  <c r="GW345" i="13"/>
  <c r="GY345" i="13"/>
  <c r="GX345" i="13"/>
  <c r="GZ345" i="13"/>
  <c r="B353" i="21" l="1"/>
  <c r="D353" i="21"/>
  <c r="HH344" i="13"/>
  <c r="HI344" i="13"/>
  <c r="HF345" i="13"/>
  <c r="HG345" i="13" s="1"/>
  <c r="A354" i="21"/>
  <c r="GU347" i="13"/>
  <c r="GW346" i="13"/>
  <c r="GY346" i="13"/>
  <c r="GX346" i="13"/>
  <c r="GZ346" i="13"/>
  <c r="D354" i="21" l="1"/>
  <c r="B354" i="21"/>
  <c r="HH345" i="13"/>
  <c r="HI345" i="13"/>
  <c r="HF346" i="13"/>
  <c r="HG346" i="13" s="1"/>
  <c r="A355" i="21"/>
  <c r="GU348" i="13"/>
  <c r="GW347" i="13"/>
  <c r="GY347" i="13"/>
  <c r="GX347" i="13"/>
  <c r="GZ347" i="13"/>
  <c r="D355" i="21" l="1"/>
  <c r="B355" i="21"/>
  <c r="HH346" i="13"/>
  <c r="HI346" i="13"/>
  <c r="HF347" i="13"/>
  <c r="HG347" i="13" s="1"/>
  <c r="A356" i="21"/>
  <c r="GU349" i="13"/>
  <c r="GW348" i="13"/>
  <c r="GY348" i="13"/>
  <c r="GX348" i="13"/>
  <c r="GZ348" i="13"/>
  <c r="B356" i="21" l="1"/>
  <c r="D356" i="21"/>
  <c r="HH347" i="13"/>
  <c r="HI347" i="13"/>
  <c r="HF348" i="13"/>
  <c r="HG348" i="13" s="1"/>
  <c r="A357" i="21"/>
  <c r="GU350" i="13"/>
  <c r="GW349" i="13"/>
  <c r="GY349" i="13"/>
  <c r="GX349" i="13"/>
  <c r="GZ349" i="13"/>
  <c r="B357" i="21" l="1"/>
  <c r="D357" i="21"/>
  <c r="HH348" i="13"/>
  <c r="HI348" i="13"/>
  <c r="HF349" i="13"/>
  <c r="HG349" i="13" s="1"/>
  <c r="A358" i="21"/>
  <c r="GU351" i="13"/>
  <c r="GW350" i="13"/>
  <c r="GY350" i="13"/>
  <c r="GX350" i="13"/>
  <c r="GZ350" i="13"/>
  <c r="D358" i="21" l="1"/>
  <c r="B358" i="21"/>
  <c r="HH349" i="13"/>
  <c r="HI349" i="13"/>
  <c r="HF350" i="13"/>
  <c r="HG350" i="13" s="1"/>
  <c r="A359" i="21"/>
  <c r="GU352" i="13"/>
  <c r="GW351" i="13"/>
  <c r="GY351" i="13"/>
  <c r="GX351" i="13"/>
  <c r="GZ351" i="13"/>
  <c r="D359" i="21" l="1"/>
  <c r="B359" i="21"/>
  <c r="HH350" i="13"/>
  <c r="HI350" i="13"/>
  <c r="HF351" i="13"/>
  <c r="HG351" i="13" s="1"/>
  <c r="A360" i="21"/>
  <c r="GU353" i="13"/>
  <c r="GW352" i="13"/>
  <c r="GY352" i="13"/>
  <c r="GX352" i="13"/>
  <c r="GZ352" i="13"/>
  <c r="B360" i="21" l="1"/>
  <c r="D360" i="21"/>
  <c r="HH351" i="13"/>
  <c r="HI351" i="13"/>
  <c r="HF352" i="13"/>
  <c r="HG352" i="13" s="1"/>
  <c r="A361" i="21"/>
  <c r="GU354" i="13"/>
  <c r="GW353" i="13"/>
  <c r="GY353" i="13"/>
  <c r="GX353" i="13"/>
  <c r="GZ353" i="13"/>
  <c r="D361" i="21" l="1"/>
  <c r="B361" i="21"/>
  <c r="HH352" i="13"/>
  <c r="HI352" i="13"/>
  <c r="HF353" i="13"/>
  <c r="HG353" i="13" s="1"/>
  <c r="A362" i="21"/>
  <c r="GU355" i="13"/>
  <c r="GW354" i="13"/>
  <c r="GY354" i="13"/>
  <c r="GX354" i="13"/>
  <c r="GZ354" i="13"/>
  <c r="B362" i="21" l="1"/>
  <c r="D362" i="21"/>
  <c r="HH353" i="13"/>
  <c r="HI353" i="13"/>
  <c r="HF354" i="13"/>
  <c r="HG354" i="13" s="1"/>
  <c r="A363" i="21"/>
  <c r="GU356" i="13"/>
  <c r="GW355" i="13"/>
  <c r="GY355" i="13"/>
  <c r="GX355" i="13"/>
  <c r="GZ355" i="13"/>
  <c r="B363" i="21" l="1"/>
  <c r="D363" i="21"/>
  <c r="HH354" i="13"/>
  <c r="HI354" i="13"/>
  <c r="HF355" i="13"/>
  <c r="HG355" i="13" s="1"/>
  <c r="A364" i="21"/>
  <c r="GU357" i="13"/>
  <c r="GW356" i="13"/>
  <c r="GY356" i="13"/>
  <c r="GX356" i="13"/>
  <c r="GZ356" i="13"/>
  <c r="D364" i="21" l="1"/>
  <c r="B364" i="21"/>
  <c r="HH355" i="13"/>
  <c r="HI355" i="13"/>
  <c r="HF356" i="13"/>
  <c r="HG356" i="13" s="1"/>
  <c r="A365" i="21"/>
  <c r="GU358" i="13"/>
  <c r="GW357" i="13"/>
  <c r="GY357" i="13"/>
  <c r="GX357" i="13"/>
  <c r="GZ357" i="13"/>
  <c r="D365" i="21" l="1"/>
  <c r="B365" i="21"/>
  <c r="HH356" i="13"/>
  <c r="HI356" i="13"/>
  <c r="HF357" i="13"/>
  <c r="HG357" i="13" s="1"/>
  <c r="A366" i="21"/>
  <c r="GU359" i="13"/>
  <c r="GW358" i="13"/>
  <c r="GY358" i="13"/>
  <c r="GX358" i="13"/>
  <c r="GZ358" i="13"/>
  <c r="B366" i="21" l="1"/>
  <c r="D366" i="21"/>
  <c r="HH357" i="13"/>
  <c r="HI357" i="13"/>
  <c r="HF358" i="13"/>
  <c r="HG358" i="13" s="1"/>
  <c r="A367" i="21"/>
  <c r="GU360" i="13"/>
  <c r="GW359" i="13"/>
  <c r="GY359" i="13"/>
  <c r="GX359" i="13"/>
  <c r="GZ359" i="13"/>
  <c r="B367" i="21" l="1"/>
  <c r="D367" i="21"/>
  <c r="HH358" i="13"/>
  <c r="HI358" i="13"/>
  <c r="HF359" i="13"/>
  <c r="HG359" i="13" s="1"/>
  <c r="A368" i="21"/>
  <c r="GU361" i="13"/>
  <c r="GW360" i="13"/>
  <c r="GY360" i="13"/>
  <c r="GX360" i="13"/>
  <c r="GZ360" i="13"/>
  <c r="B368" i="21" l="1"/>
  <c r="D368" i="21"/>
  <c r="HH359" i="13"/>
  <c r="HI359" i="13"/>
  <c r="HF360" i="13"/>
  <c r="HG360" i="13" s="1"/>
  <c r="A369" i="21"/>
  <c r="GU362" i="13"/>
  <c r="GW361" i="13"/>
  <c r="GY361" i="13"/>
  <c r="GX361" i="13"/>
  <c r="GZ361" i="13"/>
  <c r="D369" i="21" l="1"/>
  <c r="B369" i="21"/>
  <c r="HH360" i="13"/>
  <c r="HI360" i="13"/>
  <c r="HF361" i="13"/>
  <c r="HG361" i="13" s="1"/>
  <c r="A370" i="21"/>
  <c r="GU363" i="13"/>
  <c r="GW362" i="13"/>
  <c r="GY362" i="13"/>
  <c r="GX362" i="13"/>
  <c r="GZ362" i="13"/>
  <c r="D370" i="21" l="1"/>
  <c r="B370" i="21"/>
  <c r="HH361" i="13"/>
  <c r="HI361" i="13"/>
  <c r="HF362" i="13"/>
  <c r="HG362" i="13" s="1"/>
  <c r="A371" i="21"/>
  <c r="GU364" i="13"/>
  <c r="GW363" i="13"/>
  <c r="GY363" i="13"/>
  <c r="GX363" i="13"/>
  <c r="GZ363" i="13"/>
  <c r="B371" i="21" l="1"/>
  <c r="D371" i="21"/>
  <c r="HH362" i="13"/>
  <c r="HI362" i="13"/>
  <c r="HF363" i="13"/>
  <c r="HG363" i="13" s="1"/>
  <c r="A372" i="21"/>
  <c r="GU365" i="13"/>
  <c r="GW364" i="13"/>
  <c r="GY364" i="13"/>
  <c r="GX364" i="13"/>
  <c r="GZ364" i="13"/>
  <c r="D372" i="21" l="1"/>
  <c r="B372" i="21"/>
  <c r="HH363" i="13"/>
  <c r="HI363" i="13"/>
  <c r="HF364" i="13"/>
  <c r="HG364" i="13" s="1"/>
  <c r="A373" i="21"/>
  <c r="GU366" i="13"/>
  <c r="GW365" i="13"/>
  <c r="GY365" i="13"/>
  <c r="GX365" i="13"/>
  <c r="GZ365" i="13"/>
  <c r="B373" i="21" l="1"/>
  <c r="D373" i="21"/>
  <c r="HH364" i="13"/>
  <c r="HI364" i="13"/>
  <c r="HF365" i="13"/>
  <c r="HG365" i="13" s="1"/>
  <c r="A374" i="21"/>
  <c r="GU367" i="13"/>
  <c r="GW366" i="13"/>
  <c r="GY366" i="13"/>
  <c r="GX366" i="13"/>
  <c r="GZ366" i="13"/>
  <c r="D374" i="21" l="1"/>
  <c r="B374" i="21"/>
  <c r="HH365" i="13"/>
  <c r="HI365" i="13"/>
  <c r="HF366" i="13"/>
  <c r="HG366" i="13" s="1"/>
  <c r="A375" i="21"/>
  <c r="GU368" i="13"/>
  <c r="GW367" i="13"/>
  <c r="GY367" i="13"/>
  <c r="GX367" i="13"/>
  <c r="GZ367" i="13"/>
  <c r="D375" i="21" l="1"/>
  <c r="B375" i="21"/>
  <c r="HH366" i="13"/>
  <c r="HI366" i="13"/>
  <c r="HF367" i="13"/>
  <c r="HG367" i="13" s="1"/>
  <c r="A376" i="21"/>
  <c r="GU369" i="13"/>
  <c r="GW368" i="13"/>
  <c r="GY368" i="13"/>
  <c r="GX368" i="13"/>
  <c r="GZ368" i="13"/>
  <c r="B376" i="21" l="1"/>
  <c r="D376" i="21"/>
  <c r="HH367" i="13"/>
  <c r="HI367" i="13"/>
  <c r="HF368" i="13"/>
  <c r="HG368" i="13" s="1"/>
  <c r="A377" i="21"/>
  <c r="GU370" i="13"/>
  <c r="GW369" i="13"/>
  <c r="GY369" i="13"/>
  <c r="GX369" i="13"/>
  <c r="GZ369" i="13"/>
  <c r="B377" i="21" l="1"/>
  <c r="D377" i="21"/>
  <c r="HH368" i="13"/>
  <c r="HI368" i="13"/>
  <c r="HF369" i="13"/>
  <c r="HG369" i="13" s="1"/>
  <c r="A378" i="21"/>
  <c r="GU371" i="13"/>
  <c r="GW370" i="13"/>
  <c r="GY370" i="13"/>
  <c r="GX370" i="13"/>
  <c r="GZ370" i="13"/>
  <c r="D378" i="21" l="1"/>
  <c r="B378" i="21"/>
  <c r="HH369" i="13"/>
  <c r="HI369" i="13"/>
  <c r="HF370" i="13"/>
  <c r="HG370" i="13" s="1"/>
  <c r="A379" i="21"/>
  <c r="GU372" i="13"/>
  <c r="GW371" i="13"/>
  <c r="GY371" i="13"/>
  <c r="GX371" i="13"/>
  <c r="GZ371" i="13"/>
  <c r="B379" i="21" l="1"/>
  <c r="D379" i="21"/>
  <c r="HH370" i="13"/>
  <c r="HI370" i="13"/>
  <c r="HF371" i="13"/>
  <c r="HG371" i="13" s="1"/>
  <c r="A380" i="21"/>
  <c r="GU373" i="13"/>
  <c r="GW372" i="13"/>
  <c r="GY372" i="13"/>
  <c r="GX372" i="13"/>
  <c r="GZ372" i="13"/>
  <c r="D380" i="21" l="1"/>
  <c r="B380" i="21"/>
  <c r="HH371" i="13"/>
  <c r="HI371" i="13"/>
  <c r="HF372" i="13"/>
  <c r="HG372" i="13" s="1"/>
  <c r="A381" i="21"/>
  <c r="GU374" i="13"/>
  <c r="GW373" i="13"/>
  <c r="GY373" i="13"/>
  <c r="GX373" i="13"/>
  <c r="GZ373" i="13"/>
  <c r="B381" i="21" l="1"/>
  <c r="D381" i="21"/>
  <c r="HH372" i="13"/>
  <c r="HI372" i="13"/>
  <c r="HF373" i="13"/>
  <c r="HG373" i="13" s="1"/>
  <c r="A382" i="21"/>
  <c r="GU375" i="13"/>
  <c r="GW374" i="13"/>
  <c r="GY374" i="13"/>
  <c r="GX374" i="13"/>
  <c r="GZ374" i="13"/>
  <c r="B382" i="21" l="1"/>
  <c r="D382" i="21"/>
  <c r="HH373" i="13"/>
  <c r="HI373" i="13"/>
  <c r="HF374" i="13"/>
  <c r="HG374" i="13" s="1"/>
  <c r="A383" i="21"/>
  <c r="GU376" i="13"/>
  <c r="GW375" i="13"/>
  <c r="GY375" i="13"/>
  <c r="GX375" i="13"/>
  <c r="GZ375" i="13"/>
  <c r="B383" i="21" l="1"/>
  <c r="D383" i="21"/>
  <c r="HH374" i="13"/>
  <c r="HI374" i="13"/>
  <c r="HF375" i="13"/>
  <c r="HG375" i="13" s="1"/>
  <c r="A384" i="21"/>
  <c r="GU377" i="13"/>
  <c r="GW376" i="13"/>
  <c r="GY376" i="13"/>
  <c r="GX376" i="13"/>
  <c r="GZ376" i="13"/>
  <c r="D384" i="21" l="1"/>
  <c r="B384" i="21"/>
  <c r="HH375" i="13"/>
  <c r="HI375" i="13"/>
  <c r="HF376" i="13"/>
  <c r="HG376" i="13" s="1"/>
  <c r="A385" i="21"/>
  <c r="GU378" i="13"/>
  <c r="GW377" i="13"/>
  <c r="GY377" i="13"/>
  <c r="GX377" i="13"/>
  <c r="GZ377" i="13"/>
  <c r="B385" i="21" l="1"/>
  <c r="D385" i="21"/>
  <c r="HH376" i="13"/>
  <c r="HI376" i="13"/>
  <c r="HF377" i="13"/>
  <c r="HG377" i="13" s="1"/>
  <c r="A386" i="21"/>
  <c r="GU379" i="13"/>
  <c r="GW378" i="13"/>
  <c r="GY378" i="13"/>
  <c r="GX378" i="13"/>
  <c r="GZ378" i="13"/>
  <c r="D386" i="21" l="1"/>
  <c r="B386" i="21"/>
  <c r="HH377" i="13"/>
  <c r="HI377" i="13"/>
  <c r="HF378" i="13"/>
  <c r="HG378" i="13" s="1"/>
  <c r="A387" i="21"/>
  <c r="GU380" i="13"/>
  <c r="GW379" i="13"/>
  <c r="GY379" i="13"/>
  <c r="GX379" i="13"/>
  <c r="GZ379" i="13"/>
  <c r="D387" i="21" l="1"/>
  <c r="B387" i="21"/>
  <c r="HH378" i="13"/>
  <c r="HI378" i="13"/>
  <c r="HF379" i="13"/>
  <c r="HG379" i="13" s="1"/>
  <c r="A388" i="21"/>
  <c r="GU381" i="13"/>
  <c r="GW380" i="13"/>
  <c r="GY380" i="13"/>
  <c r="GX380" i="13"/>
  <c r="GZ380" i="13"/>
  <c r="B388" i="21" l="1"/>
  <c r="D388" i="21"/>
  <c r="HH379" i="13"/>
  <c r="HI379" i="13"/>
  <c r="HF380" i="13"/>
  <c r="HG380" i="13" s="1"/>
  <c r="A389" i="21"/>
  <c r="GU382" i="13"/>
  <c r="GW381" i="13"/>
  <c r="GY381" i="13"/>
  <c r="GX381" i="13"/>
  <c r="GZ381" i="13"/>
  <c r="D389" i="21" l="1"/>
  <c r="B389" i="21"/>
  <c r="HH380" i="13"/>
  <c r="HI380" i="13"/>
  <c r="HF381" i="13"/>
  <c r="HG381" i="13" s="1"/>
  <c r="A390" i="21"/>
  <c r="GU383" i="13"/>
  <c r="GW382" i="13"/>
  <c r="GY382" i="13"/>
  <c r="GX382" i="13"/>
  <c r="GZ382" i="13"/>
  <c r="D390" i="21" l="1"/>
  <c r="D20" i="21" s="1"/>
  <c r="B390" i="21"/>
  <c r="HH381" i="13"/>
  <c r="HI381" i="13"/>
  <c r="HF382" i="13"/>
  <c r="HG382" i="13" s="1"/>
  <c r="GU384" i="13"/>
  <c r="GW383" i="13"/>
  <c r="GY383" i="13"/>
  <c r="GX383" i="13"/>
  <c r="GZ383" i="13"/>
  <c r="HH382" i="13" l="1"/>
  <c r="HI382" i="13"/>
  <c r="HF383" i="13"/>
  <c r="HG383" i="13" s="1"/>
  <c r="GU385" i="13"/>
  <c r="GW384" i="13"/>
  <c r="GY384" i="13"/>
  <c r="GX384" i="13"/>
  <c r="GZ384" i="13"/>
  <c r="HH383" i="13" l="1"/>
  <c r="HI383" i="13"/>
  <c r="HF384" i="13"/>
  <c r="HG384" i="13" s="1"/>
  <c r="GU386" i="13"/>
  <c r="GW385" i="13"/>
  <c r="GY385" i="13"/>
  <c r="GX385" i="13"/>
  <c r="GZ385" i="13"/>
  <c r="HH384" i="13" l="1"/>
  <c r="HI384" i="13"/>
  <c r="HF385" i="13"/>
  <c r="HG385" i="13" s="1"/>
  <c r="GU387" i="13"/>
  <c r="GW386" i="13"/>
  <c r="GY386" i="13"/>
  <c r="GX386" i="13"/>
  <c r="GZ386" i="13"/>
  <c r="HH385" i="13" l="1"/>
  <c r="HI385" i="13"/>
  <c r="HF386" i="13"/>
  <c r="HG386" i="13" s="1"/>
  <c r="GU388" i="13"/>
  <c r="GW387" i="13"/>
  <c r="GY387" i="13"/>
  <c r="GX387" i="13"/>
  <c r="GZ387" i="13"/>
  <c r="HH386" i="13" l="1"/>
  <c r="HI386" i="13"/>
  <c r="HF387" i="13"/>
  <c r="HG387" i="13" s="1"/>
  <c r="GU389" i="13"/>
  <c r="GW388" i="13"/>
  <c r="GY388" i="13"/>
  <c r="GX388" i="13"/>
  <c r="GZ388" i="13"/>
  <c r="HH387" i="13" l="1"/>
  <c r="HI387" i="13"/>
  <c r="HF388" i="13"/>
  <c r="HG388" i="13" s="1"/>
  <c r="GU390" i="13"/>
  <c r="GW389" i="13"/>
  <c r="GY389" i="13"/>
  <c r="GX389" i="13"/>
  <c r="GZ389" i="13"/>
  <c r="HH388" i="13" l="1"/>
  <c r="HI388" i="13"/>
  <c r="HF389" i="13"/>
  <c r="HG389" i="13" s="1"/>
  <c r="GW390" i="13"/>
  <c r="GY390" i="13"/>
  <c r="GX390" i="13"/>
  <c r="GZ390" i="13"/>
  <c r="GL7" i="13" s="1"/>
  <c r="HH389" i="13" l="1"/>
  <c r="HI389" i="13"/>
  <c r="GN8" i="13"/>
  <c r="GL8" i="13"/>
  <c r="GN5" i="13"/>
  <c r="GN4" i="13"/>
  <c r="GN7" i="13"/>
  <c r="HF390" i="13"/>
  <c r="HG390" i="13" s="1"/>
  <c r="I26" i="11" l="1"/>
  <c r="I34" i="11"/>
  <c r="I42" i="11"/>
  <c r="I50" i="11"/>
  <c r="I58" i="11"/>
  <c r="I66" i="11"/>
  <c r="I74" i="11"/>
  <c r="I82" i="11"/>
  <c r="I90" i="11"/>
  <c r="I98" i="11"/>
  <c r="I106" i="11"/>
  <c r="I114" i="11"/>
  <c r="I122" i="11"/>
  <c r="I130" i="11"/>
  <c r="I138" i="11"/>
  <c r="I146" i="11"/>
  <c r="I154" i="11"/>
  <c r="I162" i="11"/>
  <c r="I170" i="11"/>
  <c r="I178" i="11"/>
  <c r="I186" i="11"/>
  <c r="I194" i="11"/>
  <c r="I202" i="11"/>
  <c r="I210" i="11"/>
  <c r="I218" i="11"/>
  <c r="I226" i="11"/>
  <c r="I234" i="11"/>
  <c r="I242" i="11"/>
  <c r="I250" i="11"/>
  <c r="I258" i="11"/>
  <c r="I266" i="11"/>
  <c r="I274" i="11"/>
  <c r="I282" i="11"/>
  <c r="I290" i="11"/>
  <c r="I298" i="11"/>
  <c r="I306" i="11"/>
  <c r="I314" i="11"/>
  <c r="I322" i="11"/>
  <c r="I330" i="11"/>
  <c r="I338" i="11"/>
  <c r="I346" i="11"/>
  <c r="I354" i="11"/>
  <c r="I362" i="11"/>
  <c r="I370" i="11"/>
  <c r="I378" i="11"/>
  <c r="I386" i="11"/>
  <c r="I81" i="11"/>
  <c r="I113" i="11"/>
  <c r="I145" i="11"/>
  <c r="I201" i="11"/>
  <c r="I249" i="11"/>
  <c r="I305" i="11"/>
  <c r="I353" i="11"/>
  <c r="I27" i="11"/>
  <c r="I35" i="11"/>
  <c r="I43" i="11"/>
  <c r="I51" i="11"/>
  <c r="I59" i="11"/>
  <c r="I67" i="11"/>
  <c r="I75" i="11"/>
  <c r="I83" i="11"/>
  <c r="I91" i="11"/>
  <c r="I99" i="11"/>
  <c r="I107" i="11"/>
  <c r="I115" i="11"/>
  <c r="I123" i="11"/>
  <c r="I131" i="11"/>
  <c r="I139" i="11"/>
  <c r="I147" i="11"/>
  <c r="I155" i="11"/>
  <c r="I163" i="11"/>
  <c r="I171" i="11"/>
  <c r="I179" i="11"/>
  <c r="I187" i="11"/>
  <c r="I195" i="11"/>
  <c r="I203" i="11"/>
  <c r="I211" i="11"/>
  <c r="I219" i="11"/>
  <c r="I227" i="11"/>
  <c r="I235" i="11"/>
  <c r="I243" i="11"/>
  <c r="I251" i="11"/>
  <c r="I259" i="11"/>
  <c r="I267" i="11"/>
  <c r="I275" i="11"/>
  <c r="I283" i="11"/>
  <c r="I291" i="11"/>
  <c r="I299" i="11"/>
  <c r="I307" i="11"/>
  <c r="I315" i="11"/>
  <c r="I323" i="11"/>
  <c r="I331" i="11"/>
  <c r="I339" i="11"/>
  <c r="I347" i="11"/>
  <c r="I355" i="11"/>
  <c r="I363" i="11"/>
  <c r="I371" i="11"/>
  <c r="I379" i="11"/>
  <c r="I387" i="11"/>
  <c r="I65" i="11"/>
  <c r="I89" i="11"/>
  <c r="I137" i="11"/>
  <c r="I193" i="11"/>
  <c r="I241" i="11"/>
  <c r="I297" i="11"/>
  <c r="I369" i="11"/>
  <c r="I28" i="11"/>
  <c r="I36" i="11"/>
  <c r="I44" i="11"/>
  <c r="I52" i="11"/>
  <c r="I60" i="11"/>
  <c r="I68" i="11"/>
  <c r="I76" i="11"/>
  <c r="I84" i="11"/>
  <c r="I92" i="11"/>
  <c r="I100" i="11"/>
  <c r="I108" i="11"/>
  <c r="I116" i="11"/>
  <c r="I124" i="11"/>
  <c r="I132" i="11"/>
  <c r="I140" i="11"/>
  <c r="I148" i="11"/>
  <c r="I156" i="11"/>
  <c r="I164" i="11"/>
  <c r="I172" i="11"/>
  <c r="I180" i="11"/>
  <c r="I188" i="11"/>
  <c r="I196" i="11"/>
  <c r="I204" i="11"/>
  <c r="I212" i="11"/>
  <c r="I220" i="11"/>
  <c r="I228" i="11"/>
  <c r="I236" i="11"/>
  <c r="I244" i="11"/>
  <c r="I252" i="11"/>
  <c r="I260" i="11"/>
  <c r="I268" i="11"/>
  <c r="I276" i="11"/>
  <c r="I284" i="11"/>
  <c r="I292" i="11"/>
  <c r="I300" i="11"/>
  <c r="I308" i="11"/>
  <c r="I316" i="11"/>
  <c r="I324" i="11"/>
  <c r="I332" i="11"/>
  <c r="I340" i="11"/>
  <c r="I348" i="11"/>
  <c r="I356" i="11"/>
  <c r="I364" i="11"/>
  <c r="I372" i="11"/>
  <c r="I380" i="11"/>
  <c r="I388" i="11"/>
  <c r="I73" i="11"/>
  <c r="I105" i="11"/>
  <c r="I153" i="11"/>
  <c r="I217" i="11"/>
  <c r="I273" i="11"/>
  <c r="I329" i="11"/>
  <c r="I385" i="11"/>
  <c r="I29" i="11"/>
  <c r="I37" i="11"/>
  <c r="I45" i="11"/>
  <c r="I53" i="11"/>
  <c r="I61" i="11"/>
  <c r="I69" i="11"/>
  <c r="I77" i="11"/>
  <c r="I85" i="11"/>
  <c r="I93" i="11"/>
  <c r="I101" i="11"/>
  <c r="I109" i="11"/>
  <c r="I117" i="11"/>
  <c r="I125" i="11"/>
  <c r="I133" i="11"/>
  <c r="I141" i="11"/>
  <c r="I149" i="11"/>
  <c r="I157" i="11"/>
  <c r="I165" i="11"/>
  <c r="I173" i="11"/>
  <c r="I181" i="11"/>
  <c r="I189" i="11"/>
  <c r="I197" i="11"/>
  <c r="I205" i="11"/>
  <c r="I213" i="11"/>
  <c r="I221" i="11"/>
  <c r="I229" i="11"/>
  <c r="I237" i="11"/>
  <c r="I245" i="11"/>
  <c r="I253" i="11"/>
  <c r="I261" i="11"/>
  <c r="I269" i="11"/>
  <c r="I277" i="11"/>
  <c r="I285" i="11"/>
  <c r="I293" i="11"/>
  <c r="I301" i="11"/>
  <c r="I309" i="11"/>
  <c r="I317" i="11"/>
  <c r="I325" i="11"/>
  <c r="I333" i="11"/>
  <c r="I341" i="11"/>
  <c r="I349" i="11"/>
  <c r="I357" i="11"/>
  <c r="I365" i="11"/>
  <c r="I373" i="11"/>
  <c r="I381" i="11"/>
  <c r="I389" i="11"/>
  <c r="I57" i="11"/>
  <c r="I185" i="11"/>
  <c r="I281" i="11"/>
  <c r="I345" i="11"/>
  <c r="I30" i="11"/>
  <c r="I38" i="11"/>
  <c r="I46" i="11"/>
  <c r="I54" i="11"/>
  <c r="I62" i="11"/>
  <c r="I70" i="11"/>
  <c r="I78" i="11"/>
  <c r="I86" i="11"/>
  <c r="I94" i="11"/>
  <c r="I102" i="11"/>
  <c r="I110" i="11"/>
  <c r="I118" i="11"/>
  <c r="I126" i="11"/>
  <c r="I134" i="11"/>
  <c r="I142" i="11"/>
  <c r="I150" i="11"/>
  <c r="I158" i="11"/>
  <c r="I166" i="11"/>
  <c r="I174" i="11"/>
  <c r="I182" i="11"/>
  <c r="I190" i="11"/>
  <c r="I198" i="11"/>
  <c r="I206" i="11"/>
  <c r="I214" i="11"/>
  <c r="I222" i="11"/>
  <c r="I230" i="11"/>
  <c r="I238" i="11"/>
  <c r="I246" i="11"/>
  <c r="I254" i="11"/>
  <c r="I262" i="11"/>
  <c r="I270" i="11"/>
  <c r="I278" i="11"/>
  <c r="I286" i="11"/>
  <c r="I294" i="11"/>
  <c r="I302" i="11"/>
  <c r="I310" i="11"/>
  <c r="I318" i="11"/>
  <c r="I326" i="11"/>
  <c r="I334" i="11"/>
  <c r="I342" i="11"/>
  <c r="I350" i="11"/>
  <c r="I358" i="11"/>
  <c r="I366" i="11"/>
  <c r="I374" i="11"/>
  <c r="I382" i="11"/>
  <c r="I390" i="11"/>
  <c r="I49" i="11"/>
  <c r="I121" i="11"/>
  <c r="I169" i="11"/>
  <c r="I225" i="11"/>
  <c r="I265" i="11"/>
  <c r="I313" i="11"/>
  <c r="I361" i="11"/>
  <c r="I31" i="11"/>
  <c r="I39" i="11"/>
  <c r="I47" i="11"/>
  <c r="I55" i="11"/>
  <c r="I63" i="11"/>
  <c r="I71" i="11"/>
  <c r="I79" i="11"/>
  <c r="I87" i="11"/>
  <c r="I95" i="11"/>
  <c r="I103" i="11"/>
  <c r="I111" i="11"/>
  <c r="I119" i="11"/>
  <c r="I127" i="11"/>
  <c r="I135" i="11"/>
  <c r="I143" i="11"/>
  <c r="I151" i="11"/>
  <c r="I159" i="11"/>
  <c r="I167" i="11"/>
  <c r="I175" i="11"/>
  <c r="I183" i="11"/>
  <c r="I191" i="11"/>
  <c r="I199" i="11"/>
  <c r="I207" i="11"/>
  <c r="I215" i="11"/>
  <c r="I223" i="11"/>
  <c r="I231" i="11"/>
  <c r="I239" i="11"/>
  <c r="I247" i="11"/>
  <c r="I255" i="11"/>
  <c r="I263" i="11"/>
  <c r="I271" i="11"/>
  <c r="I279" i="11"/>
  <c r="I287" i="11"/>
  <c r="I295" i="11"/>
  <c r="I303" i="11"/>
  <c r="I311" i="11"/>
  <c r="I319" i="11"/>
  <c r="I327" i="11"/>
  <c r="I335" i="11"/>
  <c r="I343" i="11"/>
  <c r="I351" i="11"/>
  <c r="I359" i="11"/>
  <c r="I367" i="11"/>
  <c r="I375" i="11"/>
  <c r="I383" i="11"/>
  <c r="I25" i="11"/>
  <c r="I41" i="11"/>
  <c r="I97" i="11"/>
  <c r="I161" i="11"/>
  <c r="I209" i="11"/>
  <c r="I257" i="11"/>
  <c r="I321" i="11"/>
  <c r="I377" i="11"/>
  <c r="I32" i="11"/>
  <c r="I40" i="11"/>
  <c r="I48" i="11"/>
  <c r="I56" i="11"/>
  <c r="I64" i="11"/>
  <c r="I72" i="11"/>
  <c r="I80" i="11"/>
  <c r="I88" i="11"/>
  <c r="I96" i="11"/>
  <c r="I104" i="11"/>
  <c r="I112" i="11"/>
  <c r="I120" i="11"/>
  <c r="I128" i="11"/>
  <c r="I136" i="11"/>
  <c r="I144" i="11"/>
  <c r="I152" i="11"/>
  <c r="I160" i="11"/>
  <c r="I168" i="11"/>
  <c r="I176" i="11"/>
  <c r="I184" i="11"/>
  <c r="I192" i="11"/>
  <c r="I200" i="11"/>
  <c r="I208" i="11"/>
  <c r="I216" i="11"/>
  <c r="I224" i="11"/>
  <c r="I232" i="11"/>
  <c r="I240" i="11"/>
  <c r="I248" i="11"/>
  <c r="I256" i="11"/>
  <c r="I264" i="11"/>
  <c r="I272" i="11"/>
  <c r="I280" i="11"/>
  <c r="I288" i="11"/>
  <c r="I296" i="11"/>
  <c r="I304" i="11"/>
  <c r="I312" i="11"/>
  <c r="I320" i="11"/>
  <c r="I328" i="11"/>
  <c r="I336" i="11"/>
  <c r="I344" i="11"/>
  <c r="I352" i="11"/>
  <c r="I360" i="11"/>
  <c r="I368" i="11"/>
  <c r="I376" i="11"/>
  <c r="I384" i="11"/>
  <c r="I33" i="11"/>
  <c r="I129" i="11"/>
  <c r="I177" i="11"/>
  <c r="I233" i="11"/>
  <c r="I289" i="11"/>
  <c r="I337" i="11"/>
  <c r="HH390" i="13"/>
  <c r="HI390" i="13"/>
  <c r="C36" i="42" l="1"/>
  <c r="GL2" i="13" l="1"/>
  <c r="HM31" i="13" l="1"/>
  <c r="HL31" i="13" s="1"/>
  <c r="HM35" i="13"/>
  <c r="HL35" i="13" s="1"/>
  <c r="HM37" i="13"/>
  <c r="HL37" i="13" s="1"/>
  <c r="HM39" i="13"/>
  <c r="HL39" i="13" s="1"/>
  <c r="HM41" i="13"/>
  <c r="HL41" i="13" s="1"/>
  <c r="HM43" i="13"/>
  <c r="HL43" i="13" s="1"/>
  <c r="HM45" i="13"/>
  <c r="HL45" i="13" s="1"/>
  <c r="HM47" i="13"/>
  <c r="HL47" i="13" s="1"/>
  <c r="HM49" i="13"/>
  <c r="HL49" i="13" s="1"/>
  <c r="HM51" i="13"/>
  <c r="HL51" i="13" s="1"/>
  <c r="HM53" i="13"/>
  <c r="HL53" i="13" s="1"/>
  <c r="HM55" i="13"/>
  <c r="HL55" i="13" s="1"/>
  <c r="HM57" i="13"/>
  <c r="HL57" i="13" s="1"/>
  <c r="HM59" i="13"/>
  <c r="HL59" i="13" s="1"/>
  <c r="HM61" i="13"/>
  <c r="HL61" i="13" s="1"/>
  <c r="HM63" i="13"/>
  <c r="HL63" i="13" s="1"/>
  <c r="HM65" i="13"/>
  <c r="HL65" i="13" s="1"/>
  <c r="HM67" i="13"/>
  <c r="HL67" i="13" s="1"/>
  <c r="HM69" i="13"/>
  <c r="HL69" i="13" s="1"/>
  <c r="HM71" i="13"/>
  <c r="HL71" i="13" s="1"/>
  <c r="HM73" i="13"/>
  <c r="HL73" i="13" s="1"/>
  <c r="HM75" i="13"/>
  <c r="HL75" i="13" s="1"/>
  <c r="HM77" i="13"/>
  <c r="HL77" i="13" s="1"/>
  <c r="HM79" i="13"/>
  <c r="HL79" i="13" s="1"/>
  <c r="HM81" i="13"/>
  <c r="HL81" i="13" s="1"/>
  <c r="HM83" i="13"/>
  <c r="HL83" i="13" s="1"/>
  <c r="HM85" i="13"/>
  <c r="HL85" i="13" s="1"/>
  <c r="HM87" i="13"/>
  <c r="HL87" i="13" s="1"/>
  <c r="HM89" i="13"/>
  <c r="HL89" i="13" s="1"/>
  <c r="HM91" i="13"/>
  <c r="HL91" i="13" s="1"/>
  <c r="HM93" i="13"/>
  <c r="HL93" i="13" s="1"/>
  <c r="HM95" i="13"/>
  <c r="HL95" i="13" s="1"/>
  <c r="HM97" i="13"/>
  <c r="HL97" i="13" s="1"/>
  <c r="HM99" i="13"/>
  <c r="HL99" i="13" s="1"/>
  <c r="HM101" i="13"/>
  <c r="HL101" i="13" s="1"/>
  <c r="HM103" i="13"/>
  <c r="HL103" i="13" s="1"/>
  <c r="HM105" i="13"/>
  <c r="HL105" i="13" s="1"/>
  <c r="HM107" i="13"/>
  <c r="HL107" i="13" s="1"/>
  <c r="HM109" i="13"/>
  <c r="HL109" i="13" s="1"/>
  <c r="HM111" i="13"/>
  <c r="HL111" i="13" s="1"/>
  <c r="HM113" i="13"/>
  <c r="HL113" i="13" s="1"/>
  <c r="HM115" i="13"/>
  <c r="HL115" i="13" s="1"/>
  <c r="HM117" i="13"/>
  <c r="HL117" i="13" s="1"/>
  <c r="HM119" i="13"/>
  <c r="HL119" i="13" s="1"/>
  <c r="HM121" i="13"/>
  <c r="HL121" i="13" s="1"/>
  <c r="HM123" i="13"/>
  <c r="HL123" i="13" s="1"/>
  <c r="HM125" i="13"/>
  <c r="HL125" i="13" s="1"/>
  <c r="HM127" i="13"/>
  <c r="HL127" i="13" s="1"/>
  <c r="HM129" i="13"/>
  <c r="HL129" i="13" s="1"/>
  <c r="HM131" i="13"/>
  <c r="HL131" i="13" s="1"/>
  <c r="HM133" i="13"/>
  <c r="HL133" i="13" s="1"/>
  <c r="HM135" i="13"/>
  <c r="HL135" i="13" s="1"/>
  <c r="HM137" i="13"/>
  <c r="HL137" i="13" s="1"/>
  <c r="HM139" i="13"/>
  <c r="HL139" i="13" s="1"/>
  <c r="HM141" i="13"/>
  <c r="HL141" i="13" s="1"/>
  <c r="HM143" i="13"/>
  <c r="HL143" i="13" s="1"/>
  <c r="HM145" i="13"/>
  <c r="HL145" i="13" s="1"/>
  <c r="HM147" i="13"/>
  <c r="HL147" i="13" s="1"/>
  <c r="HM149" i="13"/>
  <c r="HL149" i="13" s="1"/>
  <c r="HM151" i="13"/>
  <c r="HL151" i="13" s="1"/>
  <c r="HM153" i="13"/>
  <c r="HL153" i="13" s="1"/>
  <c r="HM155" i="13"/>
  <c r="HL155" i="13" s="1"/>
  <c r="HM157" i="13"/>
  <c r="HL157" i="13" s="1"/>
  <c r="HM159" i="13"/>
  <c r="HL159" i="13" s="1"/>
  <c r="HM161" i="13"/>
  <c r="HL161" i="13" s="1"/>
  <c r="HM163" i="13"/>
  <c r="HL163" i="13" s="1"/>
  <c r="HM167" i="13"/>
  <c r="HL167" i="13" s="1"/>
  <c r="HM169" i="13"/>
  <c r="HL169" i="13" s="1"/>
  <c r="HM171" i="13"/>
  <c r="HL171" i="13" s="1"/>
  <c r="HM173" i="13"/>
  <c r="HL173" i="13" s="1"/>
  <c r="HM175" i="13"/>
  <c r="HL175" i="13" s="1"/>
  <c r="HM177" i="13"/>
  <c r="HL177" i="13" s="1"/>
  <c r="HM179" i="13"/>
  <c r="HL179" i="13" s="1"/>
  <c r="HM181" i="13"/>
  <c r="HL181" i="13" s="1"/>
  <c r="HM183" i="13"/>
  <c r="HL183" i="13" s="1"/>
  <c r="HM185" i="13"/>
  <c r="HL185" i="13" s="1"/>
  <c r="HM187" i="13"/>
  <c r="HL187" i="13" s="1"/>
  <c r="HM189" i="13"/>
  <c r="HL189" i="13" s="1"/>
  <c r="HM191" i="13"/>
  <c r="HL191" i="13" s="1"/>
  <c r="HM193" i="13"/>
  <c r="HL193" i="13" s="1"/>
  <c r="HM195" i="13"/>
  <c r="HL195" i="13" s="1"/>
  <c r="HM197" i="13"/>
  <c r="HL197" i="13" s="1"/>
  <c r="HM199" i="13"/>
  <c r="HL199" i="13" s="1"/>
  <c r="HM30" i="13"/>
  <c r="HL30" i="13" s="1"/>
  <c r="HM32" i="13"/>
  <c r="HL32" i="13" s="1"/>
  <c r="HM34" i="13"/>
  <c r="HL34" i="13" s="1"/>
  <c r="HM36" i="13"/>
  <c r="HL36" i="13" s="1"/>
  <c r="HM38" i="13"/>
  <c r="HL38" i="13" s="1"/>
  <c r="HM40" i="13"/>
  <c r="HL40" i="13" s="1"/>
  <c r="HM42" i="13"/>
  <c r="HL42" i="13" s="1"/>
  <c r="HM44" i="13"/>
  <c r="HL44" i="13" s="1"/>
  <c r="HM46" i="13"/>
  <c r="HL46" i="13" s="1"/>
  <c r="HM48" i="13"/>
  <c r="HL48" i="13" s="1"/>
  <c r="HM50" i="13"/>
  <c r="HL50" i="13" s="1"/>
  <c r="HM52" i="13"/>
  <c r="HL52" i="13" s="1"/>
  <c r="HM54" i="13"/>
  <c r="HL54" i="13" s="1"/>
  <c r="HM56" i="13"/>
  <c r="HL56" i="13" s="1"/>
  <c r="HM58" i="13"/>
  <c r="HL58" i="13" s="1"/>
  <c r="HM60" i="13"/>
  <c r="HL60" i="13" s="1"/>
  <c r="HM62" i="13"/>
  <c r="HL62" i="13" s="1"/>
  <c r="HM64" i="13"/>
  <c r="HL64" i="13" s="1"/>
  <c r="HM66" i="13"/>
  <c r="HL66" i="13" s="1"/>
  <c r="HM68" i="13"/>
  <c r="HL68" i="13" s="1"/>
  <c r="HM70" i="13"/>
  <c r="HL70" i="13" s="1"/>
  <c r="HM72" i="13"/>
  <c r="HL72" i="13" s="1"/>
  <c r="HM74" i="13"/>
  <c r="HL74" i="13" s="1"/>
  <c r="HM76" i="13"/>
  <c r="HL76" i="13" s="1"/>
  <c r="HM78" i="13"/>
  <c r="HL78" i="13" s="1"/>
  <c r="HM80" i="13"/>
  <c r="HL80" i="13" s="1"/>
  <c r="HM82" i="13"/>
  <c r="HL82" i="13" s="1"/>
  <c r="HM84" i="13"/>
  <c r="HL84" i="13" s="1"/>
  <c r="HM86" i="13"/>
  <c r="HL86" i="13" s="1"/>
  <c r="HM88" i="13"/>
  <c r="HL88" i="13" s="1"/>
  <c r="HM90" i="13"/>
  <c r="HL90" i="13" s="1"/>
  <c r="HM92" i="13"/>
  <c r="HL92" i="13" s="1"/>
  <c r="HM94" i="13"/>
  <c r="HL94" i="13" s="1"/>
  <c r="HM96" i="13"/>
  <c r="HL96" i="13" s="1"/>
  <c r="HM98" i="13"/>
  <c r="HL98" i="13" s="1"/>
  <c r="HM100" i="13"/>
  <c r="HL100" i="13" s="1"/>
  <c r="HM102" i="13"/>
  <c r="HL102" i="13" s="1"/>
  <c r="HM104" i="13"/>
  <c r="HL104" i="13" s="1"/>
  <c r="HM106" i="13"/>
  <c r="HL106" i="13" s="1"/>
  <c r="HM108" i="13"/>
  <c r="HL108" i="13" s="1"/>
  <c r="HM110" i="13"/>
  <c r="HL110" i="13" s="1"/>
  <c r="HM112" i="13"/>
  <c r="HL112" i="13" s="1"/>
  <c r="HM114" i="13"/>
  <c r="HL114" i="13" s="1"/>
  <c r="HM116" i="13"/>
  <c r="HL116" i="13" s="1"/>
  <c r="HM118" i="13"/>
  <c r="HL118" i="13" s="1"/>
  <c r="HM120" i="13"/>
  <c r="HL120" i="13" s="1"/>
  <c r="HM122" i="13"/>
  <c r="HL122" i="13" s="1"/>
  <c r="HM124" i="13"/>
  <c r="HL124" i="13" s="1"/>
  <c r="HM126" i="13"/>
  <c r="HL126" i="13" s="1"/>
  <c r="HM128" i="13"/>
  <c r="HL128" i="13" s="1"/>
  <c r="HM130" i="13"/>
  <c r="HL130" i="13" s="1"/>
  <c r="HM132" i="13"/>
  <c r="HL132" i="13" s="1"/>
  <c r="HM134" i="13"/>
  <c r="HL134" i="13" s="1"/>
  <c r="HM136" i="13"/>
  <c r="HL136" i="13" s="1"/>
  <c r="HM138" i="13"/>
  <c r="HL138" i="13" s="1"/>
  <c r="HM140" i="13"/>
  <c r="HL140" i="13" s="1"/>
  <c r="HM142" i="13"/>
  <c r="HL142" i="13" s="1"/>
  <c r="HM144" i="13"/>
  <c r="HL144" i="13" s="1"/>
  <c r="HM146" i="13"/>
  <c r="HL146" i="13" s="1"/>
  <c r="HM148" i="13"/>
  <c r="HL148" i="13" s="1"/>
  <c r="HM150" i="13"/>
  <c r="HL150" i="13" s="1"/>
  <c r="HM152" i="13"/>
  <c r="HL152" i="13" s="1"/>
  <c r="HM154" i="13"/>
  <c r="HL154" i="13" s="1"/>
  <c r="HM156" i="13"/>
  <c r="HL156" i="13" s="1"/>
  <c r="HM158" i="13"/>
  <c r="HL158" i="13" s="1"/>
  <c r="HM160" i="13"/>
  <c r="HL160" i="13" s="1"/>
  <c r="HM162" i="13"/>
  <c r="HL162" i="13" s="1"/>
  <c r="HM164" i="13"/>
  <c r="HL164" i="13" s="1"/>
  <c r="HM166" i="13"/>
  <c r="HL166" i="13" s="1"/>
  <c r="HM168" i="13"/>
  <c r="HL168" i="13" s="1"/>
  <c r="HM170" i="13"/>
  <c r="HL170" i="13" s="1"/>
  <c r="HM172" i="13"/>
  <c r="HL172" i="13" s="1"/>
  <c r="HM174" i="13"/>
  <c r="HL174" i="13" s="1"/>
  <c r="HM176" i="13"/>
  <c r="HL176" i="13" s="1"/>
  <c r="HM178" i="13"/>
  <c r="HL178" i="13" s="1"/>
  <c r="HM180" i="13"/>
  <c r="HL180" i="13" s="1"/>
  <c r="HM182" i="13"/>
  <c r="HL182" i="13" s="1"/>
  <c r="HM184" i="13"/>
  <c r="HL184" i="13" s="1"/>
  <c r="HM186" i="13"/>
  <c r="HL186" i="13" s="1"/>
  <c r="HM188" i="13"/>
  <c r="HL188" i="13" s="1"/>
  <c r="HM190" i="13"/>
  <c r="HL190" i="13" s="1"/>
  <c r="HM192" i="13"/>
  <c r="HL192" i="13" s="1"/>
  <c r="HM194" i="13"/>
  <c r="HL194" i="13" s="1"/>
  <c r="HM196" i="13"/>
  <c r="HL196" i="13" s="1"/>
  <c r="HM198" i="13"/>
  <c r="HL198" i="13" s="1"/>
  <c r="HM201" i="13"/>
  <c r="HL201" i="13" s="1"/>
  <c r="HM203" i="13"/>
  <c r="HL203" i="13" s="1"/>
  <c r="HM205" i="13"/>
  <c r="HL205" i="13" s="1"/>
  <c r="HM207" i="13"/>
  <c r="HL207" i="13" s="1"/>
  <c r="HM209" i="13"/>
  <c r="HL209" i="13" s="1"/>
  <c r="HM211" i="13"/>
  <c r="HL211" i="13" s="1"/>
  <c r="HM213" i="13"/>
  <c r="HL213" i="13" s="1"/>
  <c r="HM215" i="13"/>
  <c r="HL215" i="13" s="1"/>
  <c r="HM217" i="13"/>
  <c r="HL217" i="13" s="1"/>
  <c r="HM219" i="13"/>
  <c r="HL219" i="13" s="1"/>
  <c r="HM221" i="13"/>
  <c r="HL221" i="13" s="1"/>
  <c r="HM223" i="13"/>
  <c r="HL223" i="13" s="1"/>
  <c r="HM225" i="13"/>
  <c r="HL225" i="13" s="1"/>
  <c r="HM227" i="13"/>
  <c r="HL227" i="13" s="1"/>
  <c r="HM229" i="13"/>
  <c r="HL229" i="13" s="1"/>
  <c r="HM231" i="13"/>
  <c r="HL231" i="13" s="1"/>
  <c r="HM233" i="13"/>
  <c r="HL233" i="13" s="1"/>
  <c r="HM235" i="13"/>
  <c r="HL235" i="13" s="1"/>
  <c r="HM237" i="13"/>
  <c r="HL237" i="13" s="1"/>
  <c r="HM239" i="13"/>
  <c r="HL239" i="13" s="1"/>
  <c r="HM241" i="13"/>
  <c r="HL241" i="13" s="1"/>
  <c r="HM243" i="13"/>
  <c r="HL243" i="13" s="1"/>
  <c r="HM245" i="13"/>
  <c r="HL245" i="13" s="1"/>
  <c r="HM247" i="13"/>
  <c r="HL247" i="13" s="1"/>
  <c r="HM249" i="13"/>
  <c r="HL249" i="13" s="1"/>
  <c r="HM251" i="13"/>
  <c r="HL251" i="13" s="1"/>
  <c r="HM253" i="13"/>
  <c r="HL253" i="13" s="1"/>
  <c r="HM255" i="13"/>
  <c r="HL255" i="13" s="1"/>
  <c r="HM257" i="13"/>
  <c r="HL257" i="13" s="1"/>
  <c r="HM259" i="13"/>
  <c r="HL259" i="13" s="1"/>
  <c r="HM261" i="13"/>
  <c r="HL261" i="13" s="1"/>
  <c r="HM263" i="13"/>
  <c r="HL263" i="13" s="1"/>
  <c r="HM265" i="13"/>
  <c r="HL265" i="13" s="1"/>
  <c r="HM267" i="13"/>
  <c r="HL267" i="13" s="1"/>
  <c r="HM269" i="13"/>
  <c r="HL269" i="13" s="1"/>
  <c r="HM271" i="13"/>
  <c r="HL271" i="13" s="1"/>
  <c r="HM273" i="13"/>
  <c r="HL273" i="13" s="1"/>
  <c r="HM275" i="13"/>
  <c r="HL275" i="13" s="1"/>
  <c r="HM277" i="13"/>
  <c r="HL277" i="13" s="1"/>
  <c r="HM279" i="13"/>
  <c r="HL279" i="13" s="1"/>
  <c r="HM281" i="13"/>
  <c r="HL281" i="13" s="1"/>
  <c r="HM283" i="13"/>
  <c r="HL283" i="13" s="1"/>
  <c r="HM285" i="13"/>
  <c r="HL285" i="13" s="1"/>
  <c r="HM287" i="13"/>
  <c r="HL287" i="13" s="1"/>
  <c r="HM289" i="13"/>
  <c r="HL289" i="13" s="1"/>
  <c r="HM291" i="13"/>
  <c r="HL291" i="13" s="1"/>
  <c r="HM293" i="13"/>
  <c r="HL293" i="13" s="1"/>
  <c r="HM295" i="13"/>
  <c r="HL295" i="13" s="1"/>
  <c r="HM297" i="13"/>
  <c r="HL297" i="13" s="1"/>
  <c r="HM299" i="13"/>
  <c r="HL299" i="13" s="1"/>
  <c r="HM301" i="13"/>
  <c r="HL301" i="13" s="1"/>
  <c r="HM303" i="13"/>
  <c r="HL303" i="13" s="1"/>
  <c r="HM305" i="13"/>
  <c r="HL305" i="13" s="1"/>
  <c r="HM307" i="13"/>
  <c r="HL307" i="13" s="1"/>
  <c r="HM309" i="13"/>
  <c r="HL309" i="13" s="1"/>
  <c r="HM311" i="13"/>
  <c r="HL311" i="13" s="1"/>
  <c r="HM313" i="13"/>
  <c r="HL313" i="13" s="1"/>
  <c r="HM315" i="13"/>
  <c r="HL315" i="13" s="1"/>
  <c r="HM317" i="13"/>
  <c r="HL317" i="13" s="1"/>
  <c r="HM319" i="13"/>
  <c r="HL319" i="13" s="1"/>
  <c r="HM321" i="13"/>
  <c r="HL321" i="13" s="1"/>
  <c r="HM323" i="13"/>
  <c r="HL323" i="13" s="1"/>
  <c r="HM325" i="13"/>
  <c r="HL325" i="13" s="1"/>
  <c r="HM327" i="13"/>
  <c r="HL327" i="13" s="1"/>
  <c r="HM329" i="13"/>
  <c r="HL329" i="13" s="1"/>
  <c r="HM331" i="13"/>
  <c r="HL331" i="13" s="1"/>
  <c r="HM333" i="13"/>
  <c r="HL333" i="13" s="1"/>
  <c r="HM335" i="13"/>
  <c r="HL335" i="13" s="1"/>
  <c r="HM337" i="13"/>
  <c r="HL337" i="13" s="1"/>
  <c r="HM339" i="13"/>
  <c r="HL339" i="13" s="1"/>
  <c r="HM341" i="13"/>
  <c r="HL341" i="13" s="1"/>
  <c r="HM343" i="13"/>
  <c r="HL343" i="13" s="1"/>
  <c r="HM345" i="13"/>
  <c r="HL345" i="13" s="1"/>
  <c r="HM347" i="13"/>
  <c r="HL347" i="13" s="1"/>
  <c r="HM349" i="13"/>
  <c r="HL349" i="13" s="1"/>
  <c r="HM351" i="13"/>
  <c r="HL351" i="13" s="1"/>
  <c r="HM353" i="13"/>
  <c r="HL353" i="13" s="1"/>
  <c r="HM355" i="13"/>
  <c r="HL355" i="13" s="1"/>
  <c r="HM357" i="13"/>
  <c r="HL357" i="13" s="1"/>
  <c r="HM359" i="13"/>
  <c r="HL359" i="13" s="1"/>
  <c r="HM361" i="13"/>
  <c r="HL361" i="13" s="1"/>
  <c r="HM363" i="13"/>
  <c r="HL363" i="13" s="1"/>
  <c r="HM365" i="13"/>
  <c r="HL365" i="13" s="1"/>
  <c r="HM367" i="13"/>
  <c r="HL367" i="13" s="1"/>
  <c r="HM369" i="13"/>
  <c r="HL369" i="13" s="1"/>
  <c r="HM200" i="13"/>
  <c r="HL200" i="13" s="1"/>
  <c r="HM202" i="13"/>
  <c r="HL202" i="13" s="1"/>
  <c r="HM204" i="13"/>
  <c r="HL204" i="13" s="1"/>
  <c r="HM206" i="13"/>
  <c r="HL206" i="13" s="1"/>
  <c r="HM208" i="13"/>
  <c r="HL208" i="13" s="1"/>
  <c r="HM210" i="13"/>
  <c r="HL210" i="13" s="1"/>
  <c r="HM212" i="13"/>
  <c r="HL212" i="13" s="1"/>
  <c r="HM214" i="13"/>
  <c r="HL214" i="13" s="1"/>
  <c r="HM216" i="13"/>
  <c r="HL216" i="13" s="1"/>
  <c r="HM218" i="13"/>
  <c r="HL218" i="13" s="1"/>
  <c r="HM220" i="13"/>
  <c r="HL220" i="13" s="1"/>
  <c r="HM222" i="13"/>
  <c r="HL222" i="13" s="1"/>
  <c r="HM224" i="13"/>
  <c r="HL224" i="13" s="1"/>
  <c r="HM226" i="13"/>
  <c r="HL226" i="13" s="1"/>
  <c r="HM228" i="13"/>
  <c r="HL228" i="13" s="1"/>
  <c r="HM230" i="13"/>
  <c r="HL230" i="13" s="1"/>
  <c r="HM232" i="13"/>
  <c r="HL232" i="13" s="1"/>
  <c r="HM234" i="13"/>
  <c r="HL234" i="13" s="1"/>
  <c r="HM236" i="13"/>
  <c r="HL236" i="13" s="1"/>
  <c r="HM238" i="13"/>
  <c r="HL238" i="13" s="1"/>
  <c r="HM240" i="13"/>
  <c r="HL240" i="13" s="1"/>
  <c r="HM242" i="13"/>
  <c r="HL242" i="13" s="1"/>
  <c r="HM244" i="13"/>
  <c r="HL244" i="13" s="1"/>
  <c r="HM246" i="13"/>
  <c r="HL246" i="13" s="1"/>
  <c r="HM248" i="13"/>
  <c r="HL248" i="13" s="1"/>
  <c r="HM250" i="13"/>
  <c r="HL250" i="13" s="1"/>
  <c r="HM252" i="13"/>
  <c r="HL252" i="13" s="1"/>
  <c r="HM254" i="13"/>
  <c r="HL254" i="13" s="1"/>
  <c r="HM256" i="13"/>
  <c r="HL256" i="13" s="1"/>
  <c r="HM258" i="13"/>
  <c r="HL258" i="13" s="1"/>
  <c r="HM260" i="13"/>
  <c r="HL260" i="13" s="1"/>
  <c r="HM262" i="13"/>
  <c r="HL262" i="13" s="1"/>
  <c r="HM264" i="13"/>
  <c r="HL264" i="13" s="1"/>
  <c r="HM266" i="13"/>
  <c r="HL266" i="13" s="1"/>
  <c r="HM268" i="13"/>
  <c r="HL268" i="13" s="1"/>
  <c r="HM270" i="13"/>
  <c r="HL270" i="13" s="1"/>
  <c r="HM272" i="13"/>
  <c r="HL272" i="13" s="1"/>
  <c r="HM274" i="13"/>
  <c r="HL274" i="13" s="1"/>
  <c r="HM276" i="13"/>
  <c r="HL276" i="13" s="1"/>
  <c r="HM278" i="13"/>
  <c r="HL278" i="13" s="1"/>
  <c r="HM280" i="13"/>
  <c r="HL280" i="13" s="1"/>
  <c r="HM282" i="13"/>
  <c r="HL282" i="13" s="1"/>
  <c r="HM284" i="13"/>
  <c r="HL284" i="13" s="1"/>
  <c r="HM286" i="13"/>
  <c r="HL286" i="13" s="1"/>
  <c r="HM288" i="13"/>
  <c r="HL288" i="13" s="1"/>
  <c r="HM290" i="13"/>
  <c r="HL290" i="13" s="1"/>
  <c r="HM292" i="13"/>
  <c r="HL292" i="13" s="1"/>
  <c r="HM294" i="13"/>
  <c r="HL294" i="13" s="1"/>
  <c r="HM296" i="13"/>
  <c r="HL296" i="13" s="1"/>
  <c r="HM298" i="13"/>
  <c r="HL298" i="13" s="1"/>
  <c r="HM300" i="13"/>
  <c r="HL300" i="13" s="1"/>
  <c r="HM302" i="13"/>
  <c r="HL302" i="13" s="1"/>
  <c r="HM304" i="13"/>
  <c r="HL304" i="13" s="1"/>
  <c r="HM306" i="13"/>
  <c r="HL306" i="13" s="1"/>
  <c r="HM308" i="13"/>
  <c r="HL308" i="13" s="1"/>
  <c r="HM310" i="13"/>
  <c r="HL310" i="13" s="1"/>
  <c r="HM312" i="13"/>
  <c r="HL312" i="13" s="1"/>
  <c r="HM314" i="13"/>
  <c r="HL314" i="13" s="1"/>
  <c r="HM316" i="13"/>
  <c r="HL316" i="13" s="1"/>
  <c r="HM318" i="13"/>
  <c r="HL318" i="13" s="1"/>
  <c r="HM320" i="13"/>
  <c r="HL320" i="13" s="1"/>
  <c r="HM322" i="13"/>
  <c r="HL322" i="13" s="1"/>
  <c r="HM324" i="13"/>
  <c r="HL324" i="13" s="1"/>
  <c r="HM326" i="13"/>
  <c r="HL326" i="13" s="1"/>
  <c r="HM328" i="13"/>
  <c r="HL328" i="13" s="1"/>
  <c r="HM330" i="13"/>
  <c r="HL330" i="13" s="1"/>
  <c r="HM332" i="13"/>
  <c r="HL332" i="13" s="1"/>
  <c r="HM334" i="13"/>
  <c r="HL334" i="13" s="1"/>
  <c r="HM336" i="13"/>
  <c r="HL336" i="13" s="1"/>
  <c r="HM338" i="13"/>
  <c r="HL338" i="13" s="1"/>
  <c r="HM340" i="13"/>
  <c r="HL340" i="13" s="1"/>
  <c r="HM342" i="13"/>
  <c r="HL342" i="13" s="1"/>
  <c r="HM344" i="13"/>
  <c r="HL344" i="13" s="1"/>
  <c r="HM346" i="13"/>
  <c r="HL346" i="13" s="1"/>
  <c r="HM348" i="13"/>
  <c r="HL348" i="13" s="1"/>
  <c r="HM350" i="13"/>
  <c r="HL350" i="13" s="1"/>
  <c r="HM352" i="13"/>
  <c r="HL352" i="13" s="1"/>
  <c r="HM354" i="13"/>
  <c r="HL354" i="13" s="1"/>
  <c r="HM356" i="13"/>
  <c r="HL356" i="13" s="1"/>
  <c r="HM358" i="13"/>
  <c r="HL358" i="13" s="1"/>
  <c r="HM360" i="13"/>
  <c r="HL360" i="13" s="1"/>
  <c r="HM362" i="13"/>
  <c r="HL362" i="13" s="1"/>
  <c r="HM364" i="13"/>
  <c r="HL364" i="13" s="1"/>
  <c r="HM366" i="13"/>
  <c r="HL366" i="13" s="1"/>
  <c r="HM368" i="13"/>
  <c r="HL368" i="13" s="1"/>
  <c r="HM370" i="13"/>
  <c r="HL370" i="13" s="1"/>
  <c r="HM372" i="13"/>
  <c r="HL372" i="13" s="1"/>
  <c r="HM374" i="13"/>
  <c r="HL374" i="13" s="1"/>
  <c r="HM376" i="13"/>
  <c r="HL376" i="13" s="1"/>
  <c r="HM378" i="13"/>
  <c r="HL378" i="13" s="1"/>
  <c r="HM380" i="13"/>
  <c r="HL380" i="13" s="1"/>
  <c r="HM382" i="13"/>
  <c r="HL382" i="13" s="1"/>
  <c r="HM384" i="13"/>
  <c r="HL384" i="13" s="1"/>
  <c r="HM386" i="13"/>
  <c r="HL386" i="13" s="1"/>
  <c r="HM388" i="13"/>
  <c r="HL388" i="13" s="1"/>
  <c r="HM390" i="13"/>
  <c r="HL390" i="13" s="1"/>
  <c r="HM371" i="13"/>
  <c r="HL371" i="13" s="1"/>
  <c r="HM373" i="13"/>
  <c r="HL373" i="13" s="1"/>
  <c r="HM375" i="13"/>
  <c r="HL375" i="13" s="1"/>
  <c r="HM377" i="13"/>
  <c r="HL377" i="13" s="1"/>
  <c r="HM379" i="13"/>
  <c r="HL379" i="13" s="1"/>
  <c r="HM381" i="13"/>
  <c r="HL381" i="13" s="1"/>
  <c r="HM383" i="13"/>
  <c r="HL383" i="13" s="1"/>
  <c r="HM385" i="13"/>
  <c r="HL385" i="13" s="1"/>
  <c r="HM387" i="13"/>
  <c r="HL387" i="13" s="1"/>
  <c r="HM389" i="13"/>
  <c r="HL389" i="13" s="1"/>
  <c r="HM26" i="13"/>
  <c r="HL26" i="13" s="1"/>
  <c r="HM28" i="13"/>
  <c r="HL28" i="13" s="1"/>
  <c r="HM25" i="13"/>
  <c r="HM27" i="13"/>
  <c r="HL27" i="13" s="1"/>
  <c r="GL3" i="13"/>
  <c r="GQ8" i="13"/>
  <c r="GP8" i="13"/>
  <c r="HM33" i="13"/>
  <c r="HL33" i="13" s="1"/>
  <c r="HM165" i="13"/>
  <c r="HL165" i="13" s="1"/>
  <c r="HL25" i="13" l="1"/>
  <c r="HM29" i="13"/>
  <c r="HG17" i="13" l="1"/>
  <c r="HJ25" i="13" s="1"/>
  <c r="HL29" i="13"/>
  <c r="HG19" i="13"/>
  <c r="E45" i="24" s="1"/>
  <c r="L40" i="42" s="1"/>
  <c r="HI23" i="13"/>
  <c r="J47" i="24" s="1"/>
  <c r="HH17" i="13"/>
  <c r="HJ15" i="13"/>
  <c r="HK262" i="13" l="1"/>
  <c r="HK25" i="13"/>
  <c r="HJ361" i="13"/>
  <c r="HJ96" i="13"/>
  <c r="HJ112" i="13"/>
  <c r="HJ220" i="13"/>
  <c r="HJ47" i="13"/>
  <c r="HJ239" i="13"/>
  <c r="HK165" i="13"/>
  <c r="HJ64" i="13"/>
  <c r="HJ335" i="13"/>
  <c r="HJ159" i="13"/>
  <c r="HJ175" i="13"/>
  <c r="HK59" i="13"/>
  <c r="HJ120" i="13"/>
  <c r="HJ236" i="13"/>
  <c r="HJ63" i="13"/>
  <c r="HJ255" i="13"/>
  <c r="HK229" i="13"/>
  <c r="HJ316" i="13"/>
  <c r="HJ332" i="13"/>
  <c r="HJ80" i="13"/>
  <c r="HK27" i="13"/>
  <c r="HJ364" i="13"/>
  <c r="HJ207" i="13"/>
  <c r="HJ104" i="13"/>
  <c r="HJ31" i="13"/>
  <c r="HJ32" i="13"/>
  <c r="HJ128" i="13"/>
  <c r="HJ252" i="13"/>
  <c r="HJ79" i="13"/>
  <c r="HJ271" i="13"/>
  <c r="HK293" i="13"/>
  <c r="HJ160" i="13"/>
  <c r="HJ168" i="13"/>
  <c r="HK91" i="13"/>
  <c r="HK123" i="13"/>
  <c r="HJ40" i="13"/>
  <c r="HJ136" i="13"/>
  <c r="HJ268" i="13"/>
  <c r="HJ95" i="13"/>
  <c r="HJ287" i="13"/>
  <c r="HK357" i="13"/>
  <c r="HJ348" i="13"/>
  <c r="HJ88" i="13"/>
  <c r="HJ191" i="13"/>
  <c r="HJ192" i="13"/>
  <c r="HJ380" i="13"/>
  <c r="HJ204" i="13"/>
  <c r="HJ48" i="13"/>
  <c r="HJ144" i="13"/>
  <c r="HJ284" i="13"/>
  <c r="HJ111" i="13"/>
  <c r="HJ303" i="13"/>
  <c r="HK134" i="13"/>
  <c r="HJ143" i="13"/>
  <c r="HJ72" i="13"/>
  <c r="HJ176" i="13"/>
  <c r="HJ184" i="13"/>
  <c r="HJ223" i="13"/>
  <c r="HJ56" i="13"/>
  <c r="HJ152" i="13"/>
  <c r="HJ300" i="13"/>
  <c r="HJ127" i="13"/>
  <c r="HJ319" i="13"/>
  <c r="HK390" i="13"/>
  <c r="HJ28" i="13"/>
  <c r="HJ36" i="13"/>
  <c r="HJ44" i="13"/>
  <c r="HJ52" i="13"/>
  <c r="HJ60" i="13"/>
  <c r="HJ68" i="13"/>
  <c r="HJ76" i="13"/>
  <c r="HJ84" i="13"/>
  <c r="HJ92" i="13"/>
  <c r="HJ100" i="13"/>
  <c r="HJ108" i="13"/>
  <c r="HJ116" i="13"/>
  <c r="HJ124" i="13"/>
  <c r="HJ132" i="13"/>
  <c r="HJ140" i="13"/>
  <c r="HJ148" i="13"/>
  <c r="HJ156" i="13"/>
  <c r="HJ164" i="13"/>
  <c r="HJ172" i="13"/>
  <c r="HJ180" i="13"/>
  <c r="HJ188" i="13"/>
  <c r="HJ196" i="13"/>
  <c r="HJ212" i="13"/>
  <c r="HJ228" i="13"/>
  <c r="HJ244" i="13"/>
  <c r="HJ260" i="13"/>
  <c r="HJ276" i="13"/>
  <c r="HJ292" i="13"/>
  <c r="HJ308" i="13"/>
  <c r="HJ324" i="13"/>
  <c r="HJ340" i="13"/>
  <c r="HJ356" i="13"/>
  <c r="HJ372" i="13"/>
  <c r="HJ388" i="13"/>
  <c r="HJ39" i="13"/>
  <c r="HJ55" i="13"/>
  <c r="HJ71" i="13"/>
  <c r="HJ87" i="13"/>
  <c r="HJ103" i="13"/>
  <c r="HJ119" i="13"/>
  <c r="HJ135" i="13"/>
  <c r="HJ151" i="13"/>
  <c r="HJ167" i="13"/>
  <c r="HJ183" i="13"/>
  <c r="HJ199" i="13"/>
  <c r="HJ215" i="13"/>
  <c r="HJ231" i="13"/>
  <c r="HJ247" i="13"/>
  <c r="HJ263" i="13"/>
  <c r="HJ279" i="13"/>
  <c r="HJ295" i="13"/>
  <c r="HJ311" i="13"/>
  <c r="HJ327" i="13"/>
  <c r="HJ345" i="13"/>
  <c r="HJ377" i="13"/>
  <c r="HK43" i="13"/>
  <c r="HK75" i="13"/>
  <c r="HK107" i="13"/>
  <c r="HK139" i="13"/>
  <c r="HK197" i="13"/>
  <c r="HK261" i="13"/>
  <c r="HK325" i="13"/>
  <c r="HK30" i="13"/>
  <c r="HK374" i="13"/>
  <c r="HK342" i="13"/>
  <c r="HK310" i="13"/>
  <c r="HK278" i="13"/>
  <c r="HK246" i="13"/>
  <c r="HK214" i="13"/>
  <c r="HK182" i="13"/>
  <c r="HK150" i="13"/>
  <c r="HK118" i="13"/>
  <c r="HK86" i="13"/>
  <c r="HK54" i="13"/>
  <c r="HK38" i="13"/>
  <c r="HK387" i="13"/>
  <c r="HK377" i="13"/>
  <c r="HK369" i="13"/>
  <c r="HK361" i="13"/>
  <c r="HK353" i="13"/>
  <c r="HK345" i="13"/>
  <c r="HK337" i="13"/>
  <c r="HK329" i="13"/>
  <c r="HK321" i="13"/>
  <c r="HK313" i="13"/>
  <c r="HK305" i="13"/>
  <c r="HK297" i="13"/>
  <c r="HK289" i="13"/>
  <c r="HK281" i="13"/>
  <c r="HK273" i="13"/>
  <c r="HK265" i="13"/>
  <c r="HK257" i="13"/>
  <c r="HK249" i="13"/>
  <c r="HK241" i="13"/>
  <c r="HK233" i="13"/>
  <c r="HK225" i="13"/>
  <c r="HK217" i="13"/>
  <c r="HK209" i="13"/>
  <c r="HK201" i="13"/>
  <c r="HK193" i="13"/>
  <c r="HK185" i="13"/>
  <c r="HK177" i="13"/>
  <c r="HK169" i="13"/>
  <c r="HK161" i="13"/>
  <c r="HK153" i="13"/>
  <c r="HK145" i="13"/>
  <c r="HK141" i="13"/>
  <c r="HK137" i="13"/>
  <c r="HK133" i="13"/>
  <c r="HK129" i="13"/>
  <c r="HK125" i="13"/>
  <c r="HK121" i="13"/>
  <c r="HK117" i="13"/>
  <c r="HK113" i="13"/>
  <c r="HK109" i="13"/>
  <c r="HK105" i="13"/>
  <c r="HK101" i="13"/>
  <c r="HK97" i="13"/>
  <c r="HK93" i="13"/>
  <c r="HK89" i="13"/>
  <c r="HK85" i="13"/>
  <c r="HK81" i="13"/>
  <c r="HK77" i="13"/>
  <c r="HK73" i="13"/>
  <c r="HK69" i="13"/>
  <c r="HK65" i="13"/>
  <c r="HK61" i="13"/>
  <c r="HK57" i="13"/>
  <c r="HK53" i="13"/>
  <c r="HK49" i="13"/>
  <c r="HK45" i="13"/>
  <c r="HK41" i="13"/>
  <c r="HK37" i="13"/>
  <c r="HK33" i="13"/>
  <c r="HK29" i="13"/>
  <c r="HJ387" i="13"/>
  <c r="HJ383" i="13"/>
  <c r="HJ379" i="13"/>
  <c r="HJ375" i="13"/>
  <c r="HJ371" i="13"/>
  <c r="HJ367" i="13"/>
  <c r="HJ363" i="13"/>
  <c r="HJ359" i="13"/>
  <c r="HJ355" i="13"/>
  <c r="HJ351" i="13"/>
  <c r="HJ347" i="13"/>
  <c r="HJ343" i="13"/>
  <c r="HK358" i="13"/>
  <c r="HK294" i="13"/>
  <c r="HK230" i="13"/>
  <c r="HK166" i="13"/>
  <c r="HK102" i="13"/>
  <c r="HK46" i="13"/>
  <c r="HK381" i="13"/>
  <c r="HK365" i="13"/>
  <c r="HK349" i="13"/>
  <c r="HK333" i="13"/>
  <c r="HK317" i="13"/>
  <c r="HK301" i="13"/>
  <c r="HK285" i="13"/>
  <c r="HK269" i="13"/>
  <c r="HK253" i="13"/>
  <c r="HK237" i="13"/>
  <c r="HK221" i="13"/>
  <c r="HK205" i="13"/>
  <c r="HK189" i="13"/>
  <c r="HK173" i="13"/>
  <c r="HK157" i="13"/>
  <c r="HK143" i="13"/>
  <c r="HK135" i="13"/>
  <c r="HK127" i="13"/>
  <c r="HK119" i="13"/>
  <c r="HK111" i="13"/>
  <c r="HK103" i="13"/>
  <c r="HK95" i="13"/>
  <c r="HK87" i="13"/>
  <c r="HK79" i="13"/>
  <c r="HK71" i="13"/>
  <c r="HK63" i="13"/>
  <c r="HK55" i="13"/>
  <c r="HK47" i="13"/>
  <c r="HK39" i="13"/>
  <c r="HK31" i="13"/>
  <c r="HJ389" i="13"/>
  <c r="HJ381" i="13"/>
  <c r="HJ373" i="13"/>
  <c r="HJ365" i="13"/>
  <c r="HJ357" i="13"/>
  <c r="HJ349" i="13"/>
  <c r="HJ341" i="13"/>
  <c r="HJ337" i="13"/>
  <c r="HJ333" i="13"/>
  <c r="HJ329" i="13"/>
  <c r="HJ325" i="13"/>
  <c r="HJ321" i="13"/>
  <c r="HJ317" i="13"/>
  <c r="HJ313" i="13"/>
  <c r="HJ309" i="13"/>
  <c r="HJ305" i="13"/>
  <c r="HJ301" i="13"/>
  <c r="HJ297" i="13"/>
  <c r="HJ293" i="13"/>
  <c r="HJ289" i="13"/>
  <c r="HJ285" i="13"/>
  <c r="HJ281" i="13"/>
  <c r="HJ277" i="13"/>
  <c r="HJ273" i="13"/>
  <c r="HJ269" i="13"/>
  <c r="HJ265" i="13"/>
  <c r="HJ261" i="13"/>
  <c r="HJ257" i="13"/>
  <c r="HJ253" i="13"/>
  <c r="HJ249" i="13"/>
  <c r="HJ245" i="13"/>
  <c r="HJ241" i="13"/>
  <c r="HJ237" i="13"/>
  <c r="HJ233" i="13"/>
  <c r="HJ229" i="13"/>
  <c r="HJ225" i="13"/>
  <c r="HJ221" i="13"/>
  <c r="HJ217" i="13"/>
  <c r="HJ213" i="13"/>
  <c r="HJ209" i="13"/>
  <c r="HJ205" i="13"/>
  <c r="HJ201" i="13"/>
  <c r="HJ197" i="13"/>
  <c r="HJ193" i="13"/>
  <c r="HJ189" i="13"/>
  <c r="HJ185" i="13"/>
  <c r="HJ181" i="13"/>
  <c r="HJ177" i="13"/>
  <c r="HJ173" i="13"/>
  <c r="HJ169" i="13"/>
  <c r="HJ165" i="13"/>
  <c r="HJ161" i="13"/>
  <c r="HJ157" i="13"/>
  <c r="HJ153" i="13"/>
  <c r="HJ149" i="13"/>
  <c r="HJ145" i="13"/>
  <c r="HJ141" i="13"/>
  <c r="HJ137" i="13"/>
  <c r="HJ133" i="13"/>
  <c r="HJ129" i="13"/>
  <c r="HJ125" i="13"/>
  <c r="HJ121" i="13"/>
  <c r="HJ117" i="13"/>
  <c r="HJ113" i="13"/>
  <c r="HJ109" i="13"/>
  <c r="HJ105" i="13"/>
  <c r="HJ101" i="13"/>
  <c r="HJ97" i="13"/>
  <c r="HJ93" i="13"/>
  <c r="HJ89" i="13"/>
  <c r="HJ85" i="13"/>
  <c r="HJ81" i="13"/>
  <c r="HJ77" i="13"/>
  <c r="HJ73" i="13"/>
  <c r="HJ69" i="13"/>
  <c r="HJ65" i="13"/>
  <c r="HJ61" i="13"/>
  <c r="HJ57" i="13"/>
  <c r="HJ53" i="13"/>
  <c r="HJ49" i="13"/>
  <c r="HJ45" i="13"/>
  <c r="HJ41" i="13"/>
  <c r="HJ37" i="13"/>
  <c r="HJ33" i="13"/>
  <c r="HJ29" i="13"/>
  <c r="HJ390" i="13"/>
  <c r="HJ386" i="13"/>
  <c r="HJ382" i="13"/>
  <c r="HJ378" i="13"/>
  <c r="HJ374" i="13"/>
  <c r="HJ370" i="13"/>
  <c r="HJ366" i="13"/>
  <c r="HJ362" i="13"/>
  <c r="HJ358" i="13"/>
  <c r="HJ354" i="13"/>
  <c r="HJ350" i="13"/>
  <c r="HJ346" i="13"/>
  <c r="HJ342" i="13"/>
  <c r="HJ338" i="13"/>
  <c r="HJ334" i="13"/>
  <c r="HJ330" i="13"/>
  <c r="HJ326" i="13"/>
  <c r="HJ322" i="13"/>
  <c r="HJ318" i="13"/>
  <c r="HJ314" i="13"/>
  <c r="HJ310" i="13"/>
  <c r="HJ306" i="13"/>
  <c r="HJ302" i="13"/>
  <c r="HJ298" i="13"/>
  <c r="HJ294" i="13"/>
  <c r="HJ290" i="13"/>
  <c r="HJ286" i="13"/>
  <c r="HJ282" i="13"/>
  <c r="HJ278" i="13"/>
  <c r="HJ274" i="13"/>
  <c r="HJ270" i="13"/>
  <c r="HJ266" i="13"/>
  <c r="HJ262" i="13"/>
  <c r="HJ258" i="13"/>
  <c r="HJ254" i="13"/>
  <c r="HJ250" i="13"/>
  <c r="HJ246" i="13"/>
  <c r="HJ242" i="13"/>
  <c r="HJ238" i="13"/>
  <c r="HJ234" i="13"/>
  <c r="HJ230" i="13"/>
  <c r="HJ226" i="13"/>
  <c r="HJ222" i="13"/>
  <c r="HJ218" i="13"/>
  <c r="HJ214" i="13"/>
  <c r="HJ210" i="13"/>
  <c r="HJ206" i="13"/>
  <c r="HJ202" i="13"/>
  <c r="HJ198" i="13"/>
  <c r="HJ30" i="13"/>
  <c r="HJ34" i="13"/>
  <c r="HJ38" i="13"/>
  <c r="HJ42" i="13"/>
  <c r="HJ46" i="13"/>
  <c r="HJ50" i="13"/>
  <c r="HJ54" i="13"/>
  <c r="HJ58" i="13"/>
  <c r="HJ62" i="13"/>
  <c r="HJ66" i="13"/>
  <c r="HJ70" i="13"/>
  <c r="HJ74" i="13"/>
  <c r="HJ78" i="13"/>
  <c r="HJ82" i="13"/>
  <c r="HJ86" i="13"/>
  <c r="HJ90" i="13"/>
  <c r="HJ94" i="13"/>
  <c r="HJ98" i="13"/>
  <c r="HJ102" i="13"/>
  <c r="HJ106" i="13"/>
  <c r="HJ110" i="13"/>
  <c r="HJ114" i="13"/>
  <c r="HJ118" i="13"/>
  <c r="HJ122" i="13"/>
  <c r="HJ126" i="13"/>
  <c r="HJ130" i="13"/>
  <c r="HJ134" i="13"/>
  <c r="HJ138" i="13"/>
  <c r="HJ142" i="13"/>
  <c r="HJ146" i="13"/>
  <c r="HJ150" i="13"/>
  <c r="HJ154" i="13"/>
  <c r="HJ158" i="13"/>
  <c r="HJ162" i="13"/>
  <c r="HJ166" i="13"/>
  <c r="HJ170" i="13"/>
  <c r="HJ174" i="13"/>
  <c r="HJ178" i="13"/>
  <c r="HJ182" i="13"/>
  <c r="HJ186" i="13"/>
  <c r="HJ190" i="13"/>
  <c r="HJ194" i="13"/>
  <c r="HJ200" i="13"/>
  <c r="HJ208" i="13"/>
  <c r="HJ216" i="13"/>
  <c r="HJ224" i="13"/>
  <c r="HJ232" i="13"/>
  <c r="HJ240" i="13"/>
  <c r="HJ248" i="13"/>
  <c r="HJ256" i="13"/>
  <c r="HJ264" i="13"/>
  <c r="HJ272" i="13"/>
  <c r="HJ280" i="13"/>
  <c r="HJ288" i="13"/>
  <c r="HJ296" i="13"/>
  <c r="HJ304" i="13"/>
  <c r="HJ312" i="13"/>
  <c r="HJ320" i="13"/>
  <c r="HJ328" i="13"/>
  <c r="HJ336" i="13"/>
  <c r="HJ344" i="13"/>
  <c r="HJ352" i="13"/>
  <c r="HJ360" i="13"/>
  <c r="HJ368" i="13"/>
  <c r="HJ376" i="13"/>
  <c r="HJ384" i="13"/>
  <c r="HJ27" i="13"/>
  <c r="HJ35" i="13"/>
  <c r="HJ43" i="13"/>
  <c r="HJ51" i="13"/>
  <c r="HJ59" i="13"/>
  <c r="HJ67" i="13"/>
  <c r="HJ75" i="13"/>
  <c r="HJ83" i="13"/>
  <c r="HJ91" i="13"/>
  <c r="HJ99" i="13"/>
  <c r="HJ107" i="13"/>
  <c r="HJ115" i="13"/>
  <c r="HJ123" i="13"/>
  <c r="HJ131" i="13"/>
  <c r="HJ139" i="13"/>
  <c r="HJ147" i="13"/>
  <c r="HJ155" i="13"/>
  <c r="HJ163" i="13"/>
  <c r="HJ171" i="13"/>
  <c r="HJ179" i="13"/>
  <c r="HJ187" i="13"/>
  <c r="HJ195" i="13"/>
  <c r="HJ203" i="13"/>
  <c r="HJ211" i="13"/>
  <c r="HJ219" i="13"/>
  <c r="HJ227" i="13"/>
  <c r="HJ235" i="13"/>
  <c r="HJ243" i="13"/>
  <c r="HJ251" i="13"/>
  <c r="HJ259" i="13"/>
  <c r="HJ267" i="13"/>
  <c r="HJ275" i="13"/>
  <c r="HJ283" i="13"/>
  <c r="HJ291" i="13"/>
  <c r="HJ299" i="13"/>
  <c r="HJ307" i="13"/>
  <c r="HJ315" i="13"/>
  <c r="HJ323" i="13"/>
  <c r="HJ331" i="13"/>
  <c r="HJ339" i="13"/>
  <c r="HJ353" i="13"/>
  <c r="HJ369" i="13"/>
  <c r="HJ385" i="13"/>
  <c r="HK35" i="13"/>
  <c r="HK51" i="13"/>
  <c r="HK67" i="13"/>
  <c r="HK83" i="13"/>
  <c r="HK99" i="13"/>
  <c r="HK115" i="13"/>
  <c r="HK131" i="13"/>
  <c r="HK149" i="13"/>
  <c r="HK181" i="13"/>
  <c r="HK213" i="13"/>
  <c r="HK245" i="13"/>
  <c r="HK277" i="13"/>
  <c r="HK309" i="13"/>
  <c r="HK341" i="13"/>
  <c r="HK373" i="13"/>
  <c r="HK70" i="13"/>
  <c r="HK198" i="13"/>
  <c r="HK326" i="13"/>
  <c r="HK382" i="13"/>
  <c r="HK366" i="13"/>
  <c r="HK350" i="13"/>
  <c r="HK334" i="13"/>
  <c r="HK318" i="13"/>
  <c r="HK302" i="13"/>
  <c r="HK286" i="13"/>
  <c r="HK270" i="13"/>
  <c r="HK254" i="13"/>
  <c r="HK238" i="13"/>
  <c r="HK222" i="13"/>
  <c r="HK206" i="13"/>
  <c r="HK190" i="13"/>
  <c r="HK174" i="13"/>
  <c r="HK158" i="13"/>
  <c r="HK142" i="13"/>
  <c r="HK126" i="13"/>
  <c r="HK110" i="13"/>
  <c r="HK94" i="13"/>
  <c r="HK78" i="13"/>
  <c r="HK62" i="13"/>
  <c r="HK50" i="13"/>
  <c r="HK42" i="13"/>
  <c r="HK34" i="13"/>
  <c r="HK26" i="13"/>
  <c r="HK383" i="13"/>
  <c r="HK379" i="13"/>
  <c r="HK375" i="13"/>
  <c r="HK371" i="13"/>
  <c r="HK367" i="13"/>
  <c r="HK363" i="13"/>
  <c r="HK359" i="13"/>
  <c r="HK355" i="13"/>
  <c r="HK351" i="13"/>
  <c r="HK347" i="13"/>
  <c r="HK343" i="13"/>
  <c r="HK339" i="13"/>
  <c r="HK335" i="13"/>
  <c r="HK331" i="13"/>
  <c r="HK327" i="13"/>
  <c r="HK323" i="13"/>
  <c r="HK319" i="13"/>
  <c r="HK315" i="13"/>
  <c r="HK311" i="13"/>
  <c r="HK307" i="13"/>
  <c r="HK303" i="13"/>
  <c r="HK299" i="13"/>
  <c r="HK295" i="13"/>
  <c r="HK291" i="13"/>
  <c r="HK287" i="13"/>
  <c r="HK283" i="13"/>
  <c r="HK279" i="13"/>
  <c r="HK275" i="13"/>
  <c r="HK271" i="13"/>
  <c r="HK267" i="13"/>
  <c r="HK263" i="13"/>
  <c r="HK259" i="13"/>
  <c r="HK255" i="13"/>
  <c r="HK251" i="13"/>
  <c r="HK247" i="13"/>
  <c r="HK243" i="13"/>
  <c r="HK239" i="13"/>
  <c r="HK235" i="13"/>
  <c r="HK231" i="13"/>
  <c r="HK227" i="13"/>
  <c r="HK223" i="13"/>
  <c r="HK219" i="13"/>
  <c r="HK215" i="13"/>
  <c r="HK211" i="13"/>
  <c r="HK207" i="13"/>
  <c r="HK203" i="13"/>
  <c r="HK199" i="13"/>
  <c r="HK195" i="13"/>
  <c r="HK191" i="13"/>
  <c r="HK187" i="13"/>
  <c r="HK183" i="13"/>
  <c r="HK179" i="13"/>
  <c r="HK175" i="13"/>
  <c r="HK171" i="13"/>
  <c r="HK167" i="13"/>
  <c r="HK163" i="13"/>
  <c r="HK159" i="13"/>
  <c r="HK155" i="13"/>
  <c r="HK151" i="13"/>
  <c r="HK147" i="13"/>
  <c r="HK388" i="13"/>
  <c r="HK384" i="13"/>
  <c r="HK380" i="13"/>
  <c r="HK376" i="13"/>
  <c r="HK372" i="13"/>
  <c r="HK368" i="13"/>
  <c r="HK364" i="13"/>
  <c r="HK360" i="13"/>
  <c r="HK356" i="13"/>
  <c r="HK352" i="13"/>
  <c r="HK348" i="13"/>
  <c r="HK344" i="13"/>
  <c r="HK340" i="13"/>
  <c r="HK336" i="13"/>
  <c r="HK332" i="13"/>
  <c r="HK328" i="13"/>
  <c r="HK324" i="13"/>
  <c r="HK320" i="13"/>
  <c r="HK316" i="13"/>
  <c r="HK312" i="13"/>
  <c r="HK308" i="13"/>
  <c r="HK304" i="13"/>
  <c r="HK300" i="13"/>
  <c r="HK296" i="13"/>
  <c r="HK292" i="13"/>
  <c r="HK288" i="13"/>
  <c r="HK284" i="13"/>
  <c r="HK280" i="13"/>
  <c r="HK276" i="13"/>
  <c r="HK272" i="13"/>
  <c r="HK268" i="13"/>
  <c r="HK264" i="13"/>
  <c r="HK260" i="13"/>
  <c r="HK256" i="13"/>
  <c r="HK252" i="13"/>
  <c r="HK248" i="13"/>
  <c r="HK244" i="13"/>
  <c r="HK240" i="13"/>
  <c r="HK236" i="13"/>
  <c r="HK232" i="13"/>
  <c r="HK228" i="13"/>
  <c r="HK224" i="13"/>
  <c r="HK220" i="13"/>
  <c r="HK216" i="13"/>
  <c r="HK212" i="13"/>
  <c r="HK208" i="13"/>
  <c r="HK204" i="13"/>
  <c r="HK200" i="13"/>
  <c r="HK196" i="13"/>
  <c r="HK192" i="13"/>
  <c r="HK188" i="13"/>
  <c r="HK184" i="13"/>
  <c r="HK180" i="13"/>
  <c r="HK176" i="13"/>
  <c r="HK172" i="13"/>
  <c r="HK168" i="13"/>
  <c r="HK164" i="13"/>
  <c r="HK160" i="13"/>
  <c r="HK156" i="13"/>
  <c r="HK152" i="13"/>
  <c r="HK148" i="13"/>
  <c r="HK144" i="13"/>
  <c r="HK140" i="13"/>
  <c r="HK136" i="13"/>
  <c r="HK132" i="13"/>
  <c r="HK128" i="13"/>
  <c r="HK124" i="13"/>
  <c r="HK120" i="13"/>
  <c r="HK116" i="13"/>
  <c r="HK112" i="13"/>
  <c r="HK108" i="13"/>
  <c r="HK104" i="13"/>
  <c r="HK100" i="13"/>
  <c r="HK96" i="13"/>
  <c r="HK92" i="13"/>
  <c r="HK88" i="13"/>
  <c r="HK84" i="13"/>
  <c r="HK80" i="13"/>
  <c r="HK76" i="13"/>
  <c r="HK72" i="13"/>
  <c r="HK68" i="13"/>
  <c r="HK64" i="13"/>
  <c r="HK60" i="13"/>
  <c r="HK56" i="13"/>
  <c r="HK385" i="13"/>
  <c r="HK389" i="13"/>
  <c r="HK28" i="13"/>
  <c r="HK32" i="13"/>
  <c r="HK36" i="13"/>
  <c r="HK40" i="13"/>
  <c r="HK44" i="13"/>
  <c r="HK48" i="13"/>
  <c r="HK52" i="13"/>
  <c r="HK58" i="13"/>
  <c r="HK66" i="13"/>
  <c r="HK74" i="13"/>
  <c r="HK82" i="13"/>
  <c r="HK90" i="13"/>
  <c r="HK98" i="13"/>
  <c r="HK106" i="13"/>
  <c r="HK114" i="13"/>
  <c r="HK122" i="13"/>
  <c r="HK130" i="13"/>
  <c r="HK138" i="13"/>
  <c r="HK146" i="13"/>
  <c r="HK154" i="13"/>
  <c r="HK162" i="13"/>
  <c r="HK170" i="13"/>
  <c r="HK178" i="13"/>
  <c r="HK186" i="13"/>
  <c r="HK194" i="13"/>
  <c r="HK202" i="13"/>
  <c r="HK210" i="13"/>
  <c r="HK218" i="13"/>
  <c r="HK226" i="13"/>
  <c r="HK234" i="13"/>
  <c r="HK242" i="13"/>
  <c r="HK250" i="13"/>
  <c r="HK258" i="13"/>
  <c r="HK266" i="13"/>
  <c r="HK274" i="13"/>
  <c r="HK282" i="13"/>
  <c r="HK290" i="13"/>
  <c r="HK298" i="13"/>
  <c r="HK306" i="13"/>
  <c r="HK314" i="13"/>
  <c r="HK322" i="13"/>
  <c r="HK330" i="13"/>
  <c r="HK338" i="13"/>
  <c r="HK346" i="13"/>
  <c r="HK354" i="13"/>
  <c r="HK362" i="13"/>
  <c r="HK370" i="13"/>
  <c r="HK378" i="13"/>
  <c r="HK386" i="13"/>
  <c r="HI19" i="13"/>
  <c r="HJ26" i="13"/>
  <c r="HN268" i="13" l="1"/>
  <c r="HJ23" i="13"/>
  <c r="HK23" i="13"/>
  <c r="J48" i="24" s="1"/>
  <c r="G46" i="24"/>
  <c r="C25" i="21"/>
  <c r="HN87" i="13" l="1"/>
  <c r="HN40" i="13"/>
  <c r="HN135" i="13"/>
  <c r="HN107" i="13"/>
  <c r="HN297" i="13"/>
  <c r="HN128" i="13"/>
  <c r="HN221" i="13"/>
  <c r="HN168" i="13"/>
  <c r="HN67" i="13"/>
  <c r="HN171" i="13"/>
  <c r="HN257" i="13"/>
  <c r="HN92" i="13"/>
  <c r="HN349" i="13"/>
  <c r="HN199" i="13"/>
  <c r="HN156" i="13"/>
  <c r="HN285" i="13"/>
  <c r="HN242" i="13"/>
  <c r="HN75" i="13"/>
  <c r="HN147" i="13"/>
  <c r="HN104" i="13"/>
  <c r="HN233" i="13"/>
  <c r="HN361" i="13"/>
  <c r="HN55" i="13"/>
  <c r="HN119" i="13"/>
  <c r="HN64" i="13"/>
  <c r="HN192" i="13"/>
  <c r="HN321" i="13"/>
  <c r="HN167" i="13"/>
  <c r="HN60" i="13"/>
  <c r="HN124" i="13"/>
  <c r="HN188" i="13"/>
  <c r="HN253" i="13"/>
  <c r="HN317" i="13"/>
  <c r="HN210" i="13"/>
  <c r="HN306" i="13"/>
  <c r="HN101" i="13"/>
  <c r="HN181" i="13"/>
  <c r="HN146" i="13"/>
  <c r="HN274" i="13"/>
  <c r="HN338" i="13"/>
  <c r="HN69" i="13"/>
  <c r="HN137" i="13"/>
  <c r="HN78" i="13"/>
  <c r="HN211" i="13"/>
  <c r="HN275" i="13"/>
  <c r="HN232" i="13"/>
  <c r="HN339" i="13"/>
  <c r="HN296" i="13"/>
  <c r="HN389" i="13"/>
  <c r="HN360" i="13"/>
  <c r="HN214" i="13"/>
  <c r="HN278" i="13"/>
  <c r="HN342" i="13"/>
  <c r="HN73" i="13"/>
  <c r="HN141" i="13"/>
  <c r="HN38" i="13"/>
  <c r="HN106" i="13"/>
  <c r="HN174" i="13"/>
  <c r="HN43" i="13"/>
  <c r="HN91" i="13"/>
  <c r="HN123" i="13"/>
  <c r="HN179" i="13"/>
  <c r="HN72" i="13"/>
  <c r="HN136" i="13"/>
  <c r="HN201" i="13"/>
  <c r="HN265" i="13"/>
  <c r="HN329" i="13"/>
  <c r="HN39" i="13"/>
  <c r="HN71" i="13"/>
  <c r="HN103" i="13"/>
  <c r="HN139" i="13"/>
  <c r="HN96" i="13"/>
  <c r="HN160" i="13"/>
  <c r="HN225" i="13"/>
  <c r="HN289" i="13"/>
  <c r="HN353" i="13"/>
  <c r="HN151" i="13"/>
  <c r="HN183" i="13"/>
  <c r="HN44" i="13"/>
  <c r="HN76" i="13"/>
  <c r="HN108" i="13"/>
  <c r="HN140" i="13"/>
  <c r="HN172" i="13"/>
  <c r="HN205" i="13"/>
  <c r="HN237" i="13"/>
  <c r="HN269" i="13"/>
  <c r="HN301" i="13"/>
  <c r="HN333" i="13"/>
  <c r="HN365" i="13"/>
  <c r="HN226" i="13"/>
  <c r="HN258" i="13"/>
  <c r="HN290" i="13"/>
  <c r="HN322" i="13"/>
  <c r="HN354" i="13"/>
  <c r="HN53" i="13"/>
  <c r="HN85" i="13"/>
  <c r="HN121" i="13"/>
  <c r="HN153" i="13"/>
  <c r="HN42" i="13"/>
  <c r="HN110" i="13"/>
  <c r="HN178" i="13"/>
  <c r="HN243" i="13"/>
  <c r="HN307" i="13"/>
  <c r="HN200" i="13"/>
  <c r="HN264" i="13"/>
  <c r="HN328" i="13"/>
  <c r="HN378" i="13"/>
  <c r="HN383" i="13"/>
  <c r="HN246" i="13"/>
  <c r="HN310" i="13"/>
  <c r="HN41" i="13"/>
  <c r="HN109" i="13"/>
  <c r="HN177" i="13"/>
  <c r="HN74" i="13"/>
  <c r="HN142" i="13"/>
  <c r="HN207" i="13"/>
  <c r="HN239" i="13"/>
  <c r="HN271" i="13"/>
  <c r="HN303" i="13"/>
  <c r="HN335" i="13"/>
  <c r="HN204" i="13"/>
  <c r="HN316" i="13"/>
  <c r="HN284" i="13"/>
  <c r="HN252" i="13"/>
  <c r="HN220" i="13"/>
  <c r="HN359" i="13"/>
  <c r="HN343" i="13"/>
  <c r="HN327" i="13"/>
  <c r="HN311" i="13"/>
  <c r="HN295" i="13"/>
  <c r="HN279" i="13"/>
  <c r="HN263" i="13"/>
  <c r="HN247" i="13"/>
  <c r="HN231" i="13"/>
  <c r="HN215" i="13"/>
  <c r="HN198" i="13"/>
  <c r="HN182" i="13"/>
  <c r="HN166" i="13"/>
  <c r="HN150" i="13"/>
  <c r="HN134" i="13"/>
  <c r="HN114" i="13"/>
  <c r="HN98" i="13"/>
  <c r="HN82" i="13"/>
  <c r="HN62" i="13"/>
  <c r="HN46" i="13"/>
  <c r="HN185" i="13"/>
  <c r="HN169" i="13"/>
  <c r="HN149" i="13"/>
  <c r="HN133" i="13"/>
  <c r="HN117" i="13"/>
  <c r="HN97" i="13"/>
  <c r="HN81" i="13"/>
  <c r="HN65" i="13"/>
  <c r="HN49" i="13"/>
  <c r="HN366" i="13"/>
  <c r="HN350" i="13"/>
  <c r="HN334" i="13"/>
  <c r="HN318" i="13"/>
  <c r="HN302" i="13"/>
  <c r="HN286" i="13"/>
  <c r="HN270" i="13"/>
  <c r="HN254" i="13"/>
  <c r="HN238" i="13"/>
  <c r="HN222" i="13"/>
  <c r="HN375" i="13"/>
  <c r="HN126" i="13"/>
  <c r="HN381" i="13"/>
  <c r="HN386" i="13"/>
  <c r="HN370" i="13"/>
  <c r="HN368" i="13"/>
  <c r="HN352" i="13"/>
  <c r="HN336" i="13"/>
  <c r="HN320" i="13"/>
  <c r="HN304" i="13"/>
  <c r="HN288" i="13"/>
  <c r="HN272" i="13"/>
  <c r="HN256" i="13"/>
  <c r="HN240" i="13"/>
  <c r="HN224" i="13"/>
  <c r="HN208" i="13"/>
  <c r="HN363" i="13"/>
  <c r="HN347" i="13"/>
  <c r="HN331" i="13"/>
  <c r="HN315" i="13"/>
  <c r="HN299" i="13"/>
  <c r="HN283" i="13"/>
  <c r="HN267" i="13"/>
  <c r="HN251" i="13"/>
  <c r="HN235" i="13"/>
  <c r="HN219" i="13"/>
  <c r="HN203" i="13"/>
  <c r="HN186" i="13"/>
  <c r="HN170" i="13"/>
  <c r="HN154" i="13"/>
  <c r="HN138" i="13"/>
  <c r="HN118" i="13"/>
  <c r="HN102" i="13"/>
  <c r="HN86" i="13"/>
  <c r="HN70" i="13"/>
  <c r="HN50" i="13"/>
  <c r="HN189" i="13"/>
  <c r="HN173" i="13"/>
  <c r="HN59" i="13"/>
  <c r="HN83" i="13"/>
  <c r="HN99" i="13"/>
  <c r="HN115" i="13"/>
  <c r="HN131" i="13"/>
  <c r="HN163" i="13"/>
  <c r="HN195" i="13"/>
  <c r="HN56" i="13"/>
  <c r="HN88" i="13"/>
  <c r="HN120" i="13"/>
  <c r="HN152" i="13"/>
  <c r="HN184" i="13"/>
  <c r="HN217" i="13"/>
  <c r="HN249" i="13"/>
  <c r="HN281" i="13"/>
  <c r="HN313" i="13"/>
  <c r="HN345" i="13"/>
  <c r="HN206" i="13"/>
  <c r="HN51" i="13"/>
  <c r="HN47" i="13"/>
  <c r="HN63" i="13"/>
  <c r="HN79" i="13"/>
  <c r="HN95" i="13"/>
  <c r="HN111" i="13"/>
  <c r="HN127" i="13"/>
  <c r="HN155" i="13"/>
  <c r="HN187" i="13"/>
  <c r="HN48" i="13"/>
  <c r="HN80" i="13"/>
  <c r="HN112" i="13"/>
  <c r="HN144" i="13"/>
  <c r="HN176" i="13"/>
  <c r="HN209" i="13"/>
  <c r="HN241" i="13"/>
  <c r="HN273" i="13"/>
  <c r="HN305" i="13"/>
  <c r="HN337" i="13"/>
  <c r="HN369" i="13"/>
  <c r="HN143" i="13"/>
  <c r="HN159" i="13"/>
  <c r="HN175" i="13"/>
  <c r="HN191" i="13"/>
  <c r="HN52" i="13"/>
  <c r="HN68" i="13"/>
  <c r="HN84" i="13"/>
  <c r="HN100" i="13"/>
  <c r="HN116" i="13"/>
  <c r="HN132" i="13"/>
  <c r="HN148" i="13"/>
  <c r="HN164" i="13"/>
  <c r="HN180" i="13"/>
  <c r="HN196" i="13"/>
  <c r="HN213" i="13"/>
  <c r="HN229" i="13"/>
  <c r="HN245" i="13"/>
  <c r="HN261" i="13"/>
  <c r="HN277" i="13"/>
  <c r="HN293" i="13"/>
  <c r="HN309" i="13"/>
  <c r="HN325" i="13"/>
  <c r="HN341" i="13"/>
  <c r="HN357" i="13"/>
  <c r="HN202" i="13"/>
  <c r="HN218" i="13"/>
  <c r="HN234" i="13"/>
  <c r="HN250" i="13"/>
  <c r="HN266" i="13"/>
  <c r="HN282" i="13"/>
  <c r="HN298" i="13"/>
  <c r="HN314" i="13"/>
  <c r="HN330" i="13"/>
  <c r="HN346" i="13"/>
  <c r="HN362" i="13"/>
  <c r="HN45" i="13"/>
  <c r="HN61" i="13"/>
  <c r="HN77" i="13"/>
  <c r="HN93" i="13"/>
  <c r="HN113" i="13"/>
  <c r="HN129" i="13"/>
  <c r="HN145" i="13"/>
  <c r="HN161" i="13"/>
  <c r="HN197" i="13"/>
  <c r="HN58" i="13"/>
  <c r="HN94" i="13"/>
  <c r="HN130" i="13"/>
  <c r="HN162" i="13"/>
  <c r="HN194" i="13"/>
  <c r="HN227" i="13"/>
  <c r="HN259" i="13"/>
  <c r="HN291" i="13"/>
  <c r="HN323" i="13"/>
  <c r="HN355" i="13"/>
  <c r="HN216" i="13"/>
  <c r="HN248" i="13"/>
  <c r="HN280" i="13"/>
  <c r="HN312" i="13"/>
  <c r="HN344" i="13"/>
  <c r="HN376" i="13"/>
  <c r="HN373" i="13"/>
  <c r="HN388" i="13"/>
  <c r="HN105" i="13"/>
  <c r="HN230" i="13"/>
  <c r="HN262" i="13"/>
  <c r="HN294" i="13"/>
  <c r="HN326" i="13"/>
  <c r="HN358" i="13"/>
  <c r="HN57" i="13"/>
  <c r="HN89" i="13"/>
  <c r="HN125" i="13"/>
  <c r="HN157" i="13"/>
  <c r="HN193" i="13"/>
  <c r="HN54" i="13"/>
  <c r="HN90" i="13"/>
  <c r="HN122" i="13"/>
  <c r="HN158" i="13"/>
  <c r="HN190" i="13"/>
  <c r="HN223" i="13"/>
  <c r="HN255" i="13"/>
  <c r="HN287" i="13"/>
  <c r="HN319" i="13"/>
  <c r="HN351" i="13"/>
  <c r="HN236" i="13"/>
  <c r="HN300" i="13"/>
  <c r="HN367" i="13"/>
  <c r="HN212" i="13"/>
  <c r="HN228" i="13"/>
  <c r="HN244" i="13"/>
  <c r="HN260" i="13"/>
  <c r="HN276" i="13"/>
  <c r="HN292" i="13"/>
  <c r="HN308" i="13"/>
  <c r="HN324" i="13"/>
  <c r="HN332" i="13"/>
  <c r="HN348" i="13"/>
  <c r="HN364" i="13"/>
  <c r="HN382" i="13"/>
  <c r="HN380" i="13"/>
  <c r="HN377" i="13"/>
  <c r="HN387" i="13"/>
  <c r="HN371" i="13"/>
  <c r="HN165" i="13"/>
  <c r="HN340" i="13"/>
  <c r="HN356" i="13"/>
  <c r="HN372" i="13"/>
  <c r="HN374" i="13"/>
  <c r="HN390" i="13"/>
  <c r="HN385" i="13"/>
  <c r="HN384" i="13"/>
  <c r="HN379" i="13"/>
  <c r="HN66" i="13"/>
  <c r="J46" i="24"/>
  <c r="K47" i="24"/>
  <c r="HJ19" i="13"/>
  <c r="L44" i="42"/>
  <c r="U84" i="21"/>
  <c r="U119" i="21"/>
  <c r="U260" i="21"/>
  <c r="U295" i="21"/>
  <c r="U286" i="21"/>
  <c r="U321" i="21"/>
  <c r="U49" i="21"/>
  <c r="U180" i="21"/>
  <c r="U215" i="21"/>
  <c r="U356" i="21"/>
  <c r="U382" i="21"/>
  <c r="U241" i="21"/>
  <c r="U68" i="21"/>
  <c r="U103" i="21"/>
  <c r="U94" i="21"/>
  <c r="U129" i="21"/>
  <c r="U142" i="21"/>
  <c r="U164" i="21"/>
  <c r="U199" i="21"/>
  <c r="U190" i="21"/>
  <c r="U225" i="21"/>
  <c r="U334" i="21"/>
  <c r="U132" i="21"/>
  <c r="U167" i="21"/>
  <c r="U158" i="21"/>
  <c r="U193" i="21"/>
  <c r="U270" i="21"/>
  <c r="U52" i="21"/>
  <c r="U87" i="21"/>
  <c r="U228" i="21"/>
  <c r="U263" i="21"/>
  <c r="U254" i="21"/>
  <c r="U289" i="21"/>
  <c r="U276" i="21"/>
  <c r="U311" i="21"/>
  <c r="U372" i="21"/>
  <c r="U36" i="21"/>
  <c r="U71" i="21"/>
  <c r="U62" i="21"/>
  <c r="U97" i="21"/>
  <c r="U78" i="21"/>
  <c r="U340" i="21"/>
  <c r="U375" i="21"/>
  <c r="U39" i="21"/>
  <c r="U30" i="21"/>
  <c r="U65" i="21"/>
  <c r="U100" i="21"/>
  <c r="U135" i="21"/>
  <c r="U126" i="21"/>
  <c r="U161" i="21"/>
  <c r="U206" i="21"/>
  <c r="U148" i="21"/>
  <c r="U183" i="21"/>
  <c r="U324" i="21"/>
  <c r="U359" i="21"/>
  <c r="U350" i="21"/>
  <c r="U385" i="21"/>
  <c r="U177" i="21"/>
  <c r="U244" i="21"/>
  <c r="U279" i="21"/>
  <c r="U369" i="21"/>
  <c r="U212" i="21"/>
  <c r="U247" i="21"/>
  <c r="U388" i="21"/>
  <c r="U305" i="21"/>
  <c r="U308" i="21"/>
  <c r="U343" i="21"/>
  <c r="U33" i="21"/>
  <c r="U55" i="21"/>
  <c r="U196" i="21"/>
  <c r="U231" i="21"/>
  <c r="U222" i="21"/>
  <c r="U257" i="21"/>
  <c r="U116" i="21"/>
  <c r="U151" i="21"/>
  <c r="U292" i="21"/>
  <c r="U327" i="21"/>
  <c r="U318" i="21"/>
  <c r="U353" i="21"/>
  <c r="U113" i="21"/>
  <c r="U143" i="21"/>
  <c r="U169" i="21"/>
  <c r="U268" i="21"/>
  <c r="U294" i="21"/>
  <c r="U79" i="21"/>
  <c r="U105" i="21"/>
  <c r="U204" i="21"/>
  <c r="U230" i="21"/>
  <c r="U236" i="21"/>
  <c r="U262" i="21"/>
  <c r="U81" i="21"/>
  <c r="U172" i="21"/>
  <c r="U198" i="21"/>
  <c r="U367" i="21"/>
  <c r="U364" i="21"/>
  <c r="U390" i="21"/>
  <c r="U209" i="21"/>
  <c r="U38" i="21"/>
  <c r="U300" i="21"/>
  <c r="U326" i="21"/>
  <c r="U145" i="21"/>
  <c r="U302" i="21"/>
  <c r="U175" i="21"/>
  <c r="U201" i="21"/>
  <c r="U238" i="21"/>
  <c r="U111" i="21"/>
  <c r="U137" i="21"/>
  <c r="U108" i="21"/>
  <c r="U134" i="21"/>
  <c r="U303" i="21"/>
  <c r="U329" i="21"/>
  <c r="U44" i="21"/>
  <c r="U70" i="21"/>
  <c r="U366" i="21"/>
  <c r="U239" i="21"/>
  <c r="U265" i="21"/>
  <c r="U271" i="21"/>
  <c r="U297" i="21"/>
  <c r="U46" i="21"/>
  <c r="U207" i="21"/>
  <c r="U233" i="21"/>
  <c r="U332" i="21"/>
  <c r="U358" i="21"/>
  <c r="U174" i="21"/>
  <c r="U47" i="21"/>
  <c r="U73" i="21"/>
  <c r="U335" i="21"/>
  <c r="U361" i="21"/>
  <c r="U110" i="21"/>
  <c r="U41" i="21"/>
  <c r="U337" i="21"/>
  <c r="U140" i="21"/>
  <c r="U166" i="21"/>
  <c r="U273" i="21"/>
  <c r="U76" i="21"/>
  <c r="U102" i="21"/>
  <c r="U48" i="21"/>
  <c r="U27" i="21"/>
  <c r="U53" i="21"/>
  <c r="U316" i="21"/>
  <c r="U342" i="21"/>
  <c r="U272" i="21"/>
  <c r="U330" i="21"/>
  <c r="U63" i="21"/>
  <c r="U104" i="21"/>
  <c r="U139" i="21"/>
  <c r="U130" i="21"/>
  <c r="U165" i="21"/>
  <c r="U216" i="21"/>
  <c r="U251" i="21"/>
  <c r="U242" i="21"/>
  <c r="U277" i="21"/>
  <c r="U275" i="21"/>
  <c r="U301" i="21"/>
  <c r="U124" i="21"/>
  <c r="U150" i="21"/>
  <c r="U176" i="21"/>
  <c r="U56" i="21"/>
  <c r="U91" i="21"/>
  <c r="U82" i="21"/>
  <c r="U117" i="21"/>
  <c r="U28" i="21"/>
  <c r="U168" i="21"/>
  <c r="U203" i="21"/>
  <c r="U194" i="21"/>
  <c r="U229" i="21"/>
  <c r="U280" i="21"/>
  <c r="U315" i="21"/>
  <c r="U306" i="21"/>
  <c r="U341" i="21"/>
  <c r="U371" i="21"/>
  <c r="U345" i="21"/>
  <c r="U43" i="21"/>
  <c r="U34" i="21"/>
  <c r="U69" i="21"/>
  <c r="U380" i="21"/>
  <c r="U304" i="21"/>
  <c r="U120" i="21"/>
  <c r="U155" i="21"/>
  <c r="U146" i="21"/>
  <c r="U181" i="21"/>
  <c r="U83" i="21"/>
  <c r="U109" i="21"/>
  <c r="U232" i="21"/>
  <c r="U267" i="21"/>
  <c r="U258" i="21"/>
  <c r="U293" i="21"/>
  <c r="U344" i="21"/>
  <c r="U379" i="21"/>
  <c r="U370" i="21"/>
  <c r="U223" i="21"/>
  <c r="U249" i="21"/>
  <c r="U310" i="21"/>
  <c r="U72" i="21"/>
  <c r="U107" i="21"/>
  <c r="U98" i="21"/>
  <c r="U133" i="21"/>
  <c r="U184" i="21"/>
  <c r="U219" i="21"/>
  <c r="U210" i="21"/>
  <c r="U245" i="21"/>
  <c r="U211" i="21"/>
  <c r="U237" i="21"/>
  <c r="U296" i="21"/>
  <c r="U331" i="21"/>
  <c r="U322" i="21"/>
  <c r="U357" i="21"/>
  <c r="U31" i="21"/>
  <c r="U57" i="21"/>
  <c r="U80" i="21"/>
  <c r="U138" i="21"/>
  <c r="U136" i="21"/>
  <c r="U171" i="21"/>
  <c r="U162" i="21"/>
  <c r="U197" i="21"/>
  <c r="U248" i="21"/>
  <c r="U283" i="21"/>
  <c r="U274" i="21"/>
  <c r="U309" i="21"/>
  <c r="U307" i="21"/>
  <c r="U365" i="21"/>
  <c r="U89" i="21"/>
  <c r="U360" i="21"/>
  <c r="U386" i="21"/>
  <c r="U287" i="21"/>
  <c r="U313" i="21"/>
  <c r="U188" i="21"/>
  <c r="U214" i="21"/>
  <c r="U208" i="21"/>
  <c r="U266" i="21"/>
  <c r="U200" i="21"/>
  <c r="U235" i="21"/>
  <c r="U226" i="21"/>
  <c r="U261" i="21"/>
  <c r="U312" i="21"/>
  <c r="U347" i="21"/>
  <c r="U338" i="21"/>
  <c r="U373" i="21"/>
  <c r="U95" i="21"/>
  <c r="U121" i="21"/>
  <c r="U54" i="21"/>
  <c r="U112" i="21"/>
  <c r="U59" i="21"/>
  <c r="U50" i="21"/>
  <c r="U85" i="21"/>
  <c r="U336" i="21"/>
  <c r="U319" i="21"/>
  <c r="U264" i="21"/>
  <c r="U299" i="21"/>
  <c r="U290" i="21"/>
  <c r="U325" i="21"/>
  <c r="U376" i="21"/>
  <c r="U351" i="21"/>
  <c r="U377" i="21"/>
  <c r="U74" i="21"/>
  <c r="U37" i="21"/>
  <c r="U252" i="21"/>
  <c r="U278" i="21"/>
  <c r="U240" i="21"/>
  <c r="U88" i="21"/>
  <c r="U123" i="21"/>
  <c r="U114" i="21"/>
  <c r="U149" i="21"/>
  <c r="U45" i="21"/>
  <c r="U284" i="21"/>
  <c r="U328" i="21"/>
  <c r="U363" i="21"/>
  <c r="U354" i="21"/>
  <c r="U389" i="21"/>
  <c r="U159" i="21"/>
  <c r="U185" i="21"/>
  <c r="U60" i="21"/>
  <c r="U86" i="21"/>
  <c r="U144" i="21"/>
  <c r="U202" i="21"/>
  <c r="U40" i="21"/>
  <c r="U75" i="21"/>
  <c r="U66" i="21"/>
  <c r="U101" i="21"/>
  <c r="U368" i="21"/>
  <c r="U152" i="21"/>
  <c r="U187" i="21"/>
  <c r="U178" i="21"/>
  <c r="U213" i="21"/>
  <c r="U147" i="21"/>
  <c r="U173" i="21"/>
  <c r="U256" i="21"/>
  <c r="U282" i="21"/>
  <c r="U281" i="21"/>
  <c r="U115" i="21"/>
  <c r="U141" i="21"/>
  <c r="U118" i="21"/>
  <c r="U96" i="21"/>
  <c r="U122" i="21"/>
  <c r="U170" i="21"/>
  <c r="U99" i="21"/>
  <c r="U125" i="21"/>
  <c r="U348" i="21"/>
  <c r="U288" i="21"/>
  <c r="U314" i="21"/>
  <c r="U259" i="21"/>
  <c r="U285" i="21"/>
  <c r="U182" i="21"/>
  <c r="U127" i="21"/>
  <c r="U128" i="21"/>
  <c r="U154" i="21"/>
  <c r="U51" i="21"/>
  <c r="U77" i="21"/>
  <c r="U320" i="21"/>
  <c r="U346" i="21"/>
  <c r="U291" i="21"/>
  <c r="U317" i="21"/>
  <c r="U362" i="21"/>
  <c r="U191" i="21"/>
  <c r="U131" i="21"/>
  <c r="U157" i="21"/>
  <c r="U323" i="21"/>
  <c r="U349" i="21"/>
  <c r="U246" i="21"/>
  <c r="U243" i="21"/>
  <c r="U269" i="21"/>
  <c r="U163" i="21"/>
  <c r="U189" i="21"/>
  <c r="U352" i="21"/>
  <c r="U378" i="21"/>
  <c r="U298" i="21"/>
  <c r="U355" i="21"/>
  <c r="U381" i="21"/>
  <c r="U255" i="21"/>
  <c r="U106" i="21"/>
  <c r="U92" i="21"/>
  <c r="U160" i="21"/>
  <c r="U186" i="21"/>
  <c r="U384" i="21"/>
  <c r="U179" i="21"/>
  <c r="U205" i="21"/>
  <c r="U374" i="21"/>
  <c r="U26" i="21"/>
  <c r="U156" i="21"/>
  <c r="U192" i="21"/>
  <c r="U218" i="21"/>
  <c r="U153" i="21"/>
  <c r="U387" i="21"/>
  <c r="U42" i="21"/>
  <c r="U383" i="21"/>
  <c r="U32" i="21"/>
  <c r="U58" i="21"/>
  <c r="U29" i="21"/>
  <c r="U217" i="21"/>
  <c r="U195" i="21"/>
  <c r="U221" i="21"/>
  <c r="U64" i="21"/>
  <c r="U90" i="21"/>
  <c r="U35" i="21"/>
  <c r="U61" i="21"/>
  <c r="U220" i="21"/>
  <c r="U224" i="21"/>
  <c r="U250" i="21"/>
  <c r="U234" i="21"/>
  <c r="U227" i="21"/>
  <c r="U253" i="21"/>
  <c r="U339" i="21"/>
  <c r="U333" i="21"/>
  <c r="U67" i="21"/>
  <c r="U93" i="21"/>
  <c r="U25" i="21"/>
  <c r="K48" i="24" l="1"/>
  <c r="K46" i="24"/>
  <c r="G45" i="24" s="1"/>
  <c r="Q93" i="21"/>
  <c r="Q67" i="21"/>
  <c r="Q333" i="21"/>
  <c r="Q339" i="21"/>
  <c r="Q253" i="21"/>
  <c r="Q227" i="21"/>
  <c r="Q234" i="21"/>
  <c r="Q250" i="21"/>
  <c r="Q224" i="21"/>
  <c r="Q220" i="21"/>
  <c r="Q61" i="21"/>
  <c r="Q35" i="21"/>
  <c r="Q90" i="21"/>
  <c r="Q64" i="21"/>
  <c r="Q221" i="21"/>
  <c r="Q195" i="21"/>
  <c r="Q217" i="21"/>
  <c r="Q29" i="21"/>
  <c r="Q58" i="21"/>
  <c r="Q32" i="21"/>
  <c r="Q383" i="21"/>
  <c r="Q42" i="21"/>
  <c r="Q387" i="21"/>
  <c r="Q153" i="21"/>
  <c r="Q218" i="21"/>
  <c r="Q192" i="21"/>
  <c r="Q156" i="21"/>
  <c r="Q26" i="21"/>
  <c r="Q374" i="21"/>
  <c r="Q205" i="21"/>
  <c r="Q179" i="21"/>
  <c r="Q384" i="21"/>
  <c r="Q186" i="21"/>
  <c r="Q160" i="21"/>
  <c r="Q92" i="21"/>
  <c r="Q106" i="21"/>
  <c r="Q255" i="21"/>
  <c r="Q381" i="21"/>
  <c r="Q355" i="21"/>
  <c r="Q298" i="21"/>
  <c r="Q378" i="21"/>
  <c r="Q352" i="21"/>
  <c r="Q189" i="21"/>
  <c r="Q163" i="21"/>
  <c r="Q269" i="21"/>
  <c r="Q243" i="21"/>
  <c r="Q246" i="21"/>
  <c r="Q349" i="21"/>
  <c r="Q323" i="21"/>
  <c r="Q157" i="21"/>
  <c r="Q131" i="21"/>
  <c r="Q191" i="21"/>
  <c r="Q362" i="21"/>
  <c r="Q317" i="21"/>
  <c r="Q291" i="21"/>
  <c r="Q346" i="21"/>
  <c r="Q320" i="21"/>
  <c r="Q77" i="21"/>
  <c r="Q51" i="21"/>
  <c r="Q154" i="21"/>
  <c r="Q128" i="21"/>
  <c r="Q127" i="21"/>
  <c r="Q182" i="21"/>
  <c r="Q285" i="21"/>
  <c r="Q259" i="21"/>
  <c r="Q314" i="21"/>
  <c r="Q288" i="21"/>
  <c r="Q348" i="21"/>
  <c r="Q125" i="21"/>
  <c r="Q99" i="21"/>
  <c r="Q170" i="21"/>
  <c r="Q122" i="21"/>
  <c r="Q96" i="21"/>
  <c r="Q118" i="21"/>
  <c r="Q141" i="21"/>
  <c r="Q115" i="21"/>
  <c r="Q281" i="21"/>
  <c r="Q282" i="21"/>
  <c r="Q256" i="21"/>
  <c r="Q173" i="21"/>
  <c r="Q147" i="21"/>
  <c r="Q213" i="21"/>
  <c r="Q178" i="21"/>
  <c r="Q187" i="21"/>
  <c r="Q152" i="21"/>
  <c r="Q368" i="21"/>
  <c r="Q101" i="21"/>
  <c r="Q66" i="21"/>
  <c r="Q75" i="21"/>
  <c r="Q40" i="21"/>
  <c r="Q202" i="21"/>
  <c r="Q144" i="21"/>
  <c r="Q86" i="21"/>
  <c r="Q60" i="21"/>
  <c r="Q185" i="21"/>
  <c r="Q159" i="21"/>
  <c r="Q389" i="21"/>
  <c r="Q354" i="21"/>
  <c r="Q363" i="21"/>
  <c r="Q328" i="21"/>
  <c r="Q284" i="21"/>
  <c r="Q45" i="21"/>
  <c r="Q149" i="21"/>
  <c r="Q114" i="21"/>
  <c r="Q123" i="21"/>
  <c r="Q88" i="21"/>
  <c r="Q240" i="21"/>
  <c r="Q278" i="21"/>
  <c r="Q252" i="21"/>
  <c r="Q37" i="21"/>
  <c r="Q74" i="21"/>
  <c r="Q377" i="21"/>
  <c r="Q351" i="21"/>
  <c r="Q376" i="21"/>
  <c r="Q325" i="21"/>
  <c r="Q290" i="21"/>
  <c r="Q299" i="21"/>
  <c r="Q264" i="21"/>
  <c r="Q319" i="21"/>
  <c r="Q336" i="21"/>
  <c r="Q85" i="21"/>
  <c r="Q50" i="21"/>
  <c r="Q59" i="21"/>
  <c r="Q112" i="21"/>
  <c r="Q54" i="21"/>
  <c r="Q121" i="21"/>
  <c r="Q95" i="21"/>
  <c r="Q373" i="21"/>
  <c r="Q338" i="21"/>
  <c r="Q347" i="21"/>
  <c r="Q312" i="21"/>
  <c r="Q261" i="21"/>
  <c r="Q226" i="21"/>
  <c r="Q235" i="21"/>
  <c r="Q200" i="21"/>
  <c r="Q266" i="21"/>
  <c r="Q208" i="21"/>
  <c r="Q214" i="21"/>
  <c r="Q188" i="21"/>
  <c r="Q313" i="21"/>
  <c r="Q287" i="21"/>
  <c r="Q386" i="21"/>
  <c r="Q360" i="21"/>
  <c r="Q89" i="21"/>
  <c r="Q365" i="21"/>
  <c r="Q307" i="21"/>
  <c r="Q309" i="21"/>
  <c r="Q274" i="21"/>
  <c r="Q283" i="21"/>
  <c r="Q248" i="21"/>
  <c r="Q197" i="21"/>
  <c r="Q162" i="21"/>
  <c r="Q171" i="21"/>
  <c r="Q136" i="21"/>
  <c r="Q138" i="21"/>
  <c r="Q80" i="21"/>
  <c r="Q57" i="21"/>
  <c r="Q31" i="21"/>
  <c r="Q357" i="21"/>
  <c r="Q322" i="21"/>
  <c r="Q331" i="21"/>
  <c r="Q296" i="21"/>
  <c r="Q237" i="21"/>
  <c r="Q211" i="21"/>
  <c r="Q245" i="21"/>
  <c r="Q210" i="21"/>
  <c r="Q219" i="21"/>
  <c r="Q184" i="21"/>
  <c r="Q133" i="21"/>
  <c r="Q98" i="21"/>
  <c r="Q107" i="21"/>
  <c r="Q72" i="21"/>
  <c r="Q310" i="21"/>
  <c r="Q249" i="21"/>
  <c r="Q223" i="21"/>
  <c r="Q370" i="21"/>
  <c r="Q379" i="21"/>
  <c r="Q344" i="21"/>
  <c r="Q293" i="21"/>
  <c r="Q258" i="21"/>
  <c r="Q267" i="21"/>
  <c r="Q232" i="21"/>
  <c r="Q109" i="21"/>
  <c r="Q83" i="21"/>
  <c r="Q181" i="21"/>
  <c r="Q146" i="21"/>
  <c r="Q155" i="21"/>
  <c r="Q120" i="21"/>
  <c r="Q304" i="21"/>
  <c r="Q380" i="21"/>
  <c r="Q69" i="21"/>
  <c r="Q34" i="21"/>
  <c r="Q43" i="21"/>
  <c r="Q345" i="21"/>
  <c r="Q371" i="21"/>
  <c r="Q341" i="21"/>
  <c r="Q306" i="21"/>
  <c r="Q315" i="21"/>
  <c r="Q280" i="21"/>
  <c r="Q229" i="21"/>
  <c r="Q194" i="21"/>
  <c r="Q203" i="21"/>
  <c r="Q168" i="21"/>
  <c r="Q28" i="21"/>
  <c r="Q117" i="21"/>
  <c r="Q82" i="21"/>
  <c r="Q91" i="21"/>
  <c r="Q56" i="21"/>
  <c r="Q176" i="21"/>
  <c r="Q150" i="21"/>
  <c r="Q124" i="21"/>
  <c r="Q301" i="21"/>
  <c r="Q275" i="21"/>
  <c r="Q277" i="21"/>
  <c r="Q242" i="21"/>
  <c r="Q251" i="21"/>
  <c r="Q216" i="21"/>
  <c r="Q165" i="21"/>
  <c r="Q130" i="21"/>
  <c r="Q139" i="21"/>
  <c r="Q104" i="21"/>
  <c r="Q63" i="21"/>
  <c r="Q330" i="21"/>
  <c r="Q272" i="21"/>
  <c r="Q342" i="21"/>
  <c r="Q316" i="21"/>
  <c r="Q53" i="21"/>
  <c r="Q27" i="21"/>
  <c r="Q48" i="21"/>
  <c r="Q102" i="21"/>
  <c r="Q76" i="21"/>
  <c r="Q273" i="21"/>
  <c r="Q166" i="21"/>
  <c r="Q140" i="21"/>
  <c r="Q337" i="21"/>
  <c r="Q41" i="21"/>
  <c r="Q110" i="21"/>
  <c r="Q361" i="21"/>
  <c r="Q335" i="21"/>
  <c r="Q73" i="21"/>
  <c r="Q47" i="21"/>
  <c r="Q174" i="21"/>
  <c r="Q358" i="21"/>
  <c r="Q332" i="21"/>
  <c r="Q233" i="21"/>
  <c r="Q207" i="21"/>
  <c r="Q46" i="21"/>
  <c r="Q297" i="21"/>
  <c r="Q271" i="21"/>
  <c r="Q265" i="21"/>
  <c r="Q239" i="21"/>
  <c r="Q366" i="21"/>
  <c r="Q70" i="21"/>
  <c r="Q44" i="21"/>
  <c r="Q329" i="21"/>
  <c r="Q303" i="21"/>
  <c r="Q134" i="21"/>
  <c r="Q108" i="21"/>
  <c r="Q137" i="21"/>
  <c r="Q111" i="21"/>
  <c r="Q238" i="21"/>
  <c r="Q201" i="21"/>
  <c r="Q175" i="21"/>
  <c r="Q302" i="21"/>
  <c r="Q145" i="21"/>
  <c r="Q326" i="21"/>
  <c r="Q300" i="21"/>
  <c r="Q38" i="21"/>
  <c r="Q209" i="21"/>
  <c r="Q390" i="21"/>
  <c r="Q364" i="21"/>
  <c r="Q367" i="21"/>
  <c r="Q198" i="21"/>
  <c r="Q172" i="21"/>
  <c r="Q81" i="21"/>
  <c r="Q262" i="21"/>
  <c r="Q236" i="21"/>
  <c r="Q230" i="21"/>
  <c r="Q204" i="21"/>
  <c r="Q105" i="21"/>
  <c r="Q79" i="21"/>
  <c r="Q294" i="21"/>
  <c r="Q268" i="21"/>
  <c r="Q169" i="21"/>
  <c r="Q143" i="21"/>
  <c r="Q113" i="21"/>
  <c r="Q353" i="21"/>
  <c r="Q318" i="21"/>
  <c r="Q327" i="21"/>
  <c r="Q292" i="21"/>
  <c r="Q151" i="21"/>
  <c r="Q116" i="21"/>
  <c r="Q257" i="21"/>
  <c r="Q222" i="21"/>
  <c r="Q231" i="21"/>
  <c r="Q196" i="21"/>
  <c r="Q55" i="21"/>
  <c r="Q33" i="21"/>
  <c r="Q343" i="21"/>
  <c r="Q308" i="21"/>
  <c r="Q305" i="21"/>
  <c r="Q388" i="21"/>
  <c r="Q247" i="21"/>
  <c r="Q212" i="21"/>
  <c r="Q369" i="21"/>
  <c r="Q279" i="21"/>
  <c r="Q244" i="21"/>
  <c r="Q177" i="21"/>
  <c r="Q385" i="21"/>
  <c r="Q350" i="21"/>
  <c r="Q359" i="21"/>
  <c r="Q324" i="21"/>
  <c r="Q183" i="21"/>
  <c r="Q148" i="21"/>
  <c r="Q206" i="21"/>
  <c r="Q161" i="21"/>
  <c r="Q126" i="21"/>
  <c r="Q135" i="21"/>
  <c r="Q100" i="21"/>
  <c r="Q65" i="21"/>
  <c r="Q30" i="21"/>
  <c r="Q39" i="21"/>
  <c r="Q375" i="21"/>
  <c r="Q340" i="21"/>
  <c r="Q78" i="21"/>
  <c r="Q97" i="21"/>
  <c r="Q62" i="21"/>
  <c r="Q71" i="21"/>
  <c r="Q36" i="21"/>
  <c r="Q372" i="21"/>
  <c r="Q311" i="21"/>
  <c r="Q276" i="21"/>
  <c r="Q289" i="21"/>
  <c r="Q254" i="21"/>
  <c r="Q263" i="21"/>
  <c r="Q228" i="21"/>
  <c r="Q87" i="21"/>
  <c r="Q52" i="21"/>
  <c r="Q270" i="21"/>
  <c r="Q193" i="21"/>
  <c r="Q158" i="21"/>
  <c r="Q167" i="21"/>
  <c r="Q132" i="21"/>
  <c r="Q334" i="21"/>
  <c r="Q225" i="21"/>
  <c r="Q190" i="21"/>
  <c r="Q199" i="21"/>
  <c r="Q164" i="21"/>
  <c r="Q142" i="21"/>
  <c r="Q129" i="21"/>
  <c r="Q94" i="21"/>
  <c r="Q103" i="21"/>
  <c r="Q68" i="21"/>
  <c r="Q241" i="21"/>
  <c r="Q382" i="21"/>
  <c r="Q356" i="21"/>
  <c r="Q215" i="21"/>
  <c r="Q180" i="21"/>
  <c r="Q49" i="21"/>
  <c r="Q321" i="21"/>
  <c r="Q286" i="21"/>
  <c r="Q295" i="21"/>
  <c r="Q260" i="21"/>
  <c r="Q119" i="21"/>
  <c r="Q84" i="21"/>
  <c r="Q25" i="21"/>
  <c r="GJ8" i="13"/>
  <c r="Q20" i="21" l="1"/>
  <c r="Q24" i="21" s="1"/>
  <c r="L46" i="42"/>
  <c r="L42" i="42"/>
  <c r="GJ10" i="13"/>
  <c r="GJ11" i="13"/>
  <c r="GK14" i="13" l="1"/>
  <c r="GK15" i="13"/>
  <c r="GS17" i="13"/>
  <c r="GP15" i="13" s="1"/>
  <c r="GP14" i="13" l="1"/>
  <c r="J58" i="24" l="1"/>
  <c r="C58" i="24"/>
  <c r="B58" i="24" s="1"/>
  <c r="K58" i="24"/>
  <c r="G58" i="24"/>
  <c r="H58" i="24" s="1"/>
  <c r="O10" i="21" l="1"/>
  <c r="HH9" i="13" l="1"/>
  <c r="HI9" i="13" s="1"/>
  <c r="HH5" i="13"/>
  <c r="HJ5" i="13" s="1"/>
  <c r="HH8" i="13"/>
  <c r="HJ8" i="13" s="1"/>
  <c r="F57" i="24" s="1"/>
  <c r="M12" i="21" s="1"/>
  <c r="HH10" i="13"/>
  <c r="HJ10" i="13" s="1"/>
  <c r="F58" i="24" s="1"/>
  <c r="HH7" i="13"/>
  <c r="HI7" i="13" s="1"/>
  <c r="HH6" i="13"/>
  <c r="HJ6" i="13" s="1"/>
  <c r="HH3" i="13"/>
  <c r="HI3" i="13" s="1"/>
  <c r="HH4" i="13"/>
  <c r="HI4" i="13" s="1"/>
  <c r="I58" i="24" l="1"/>
  <c r="G48" i="42" s="1"/>
  <c r="O12" i="21"/>
  <c r="M18" i="21"/>
  <c r="M25" i="21"/>
  <c r="M155" i="21"/>
  <c r="Y155" i="21" s="1"/>
  <c r="M177" i="21"/>
  <c r="Y177" i="21" s="1"/>
  <c r="M42" i="21"/>
  <c r="Y42" i="21" s="1"/>
  <c r="M292" i="21"/>
  <c r="Y292" i="21" s="1"/>
  <c r="M207" i="21"/>
  <c r="Y207" i="21" s="1"/>
  <c r="M170" i="21"/>
  <c r="Y170" i="21" s="1"/>
  <c r="M46" i="21"/>
  <c r="Y46" i="21" s="1"/>
  <c r="M181" i="21"/>
  <c r="Y181" i="21" s="1"/>
  <c r="M308" i="21"/>
  <c r="Y308" i="21" s="1"/>
  <c r="M265" i="21"/>
  <c r="Y265" i="21" s="1"/>
  <c r="M370" i="21"/>
  <c r="Y370" i="21" s="1"/>
  <c r="M242" i="21"/>
  <c r="Y242" i="21" s="1"/>
  <c r="M104" i="21"/>
  <c r="Y104" i="21" s="1"/>
  <c r="M311" i="21"/>
  <c r="Y311" i="21" s="1"/>
  <c r="M288" i="21"/>
  <c r="Y288" i="21" s="1"/>
  <c r="M134" i="21"/>
  <c r="Y134" i="21" s="1"/>
  <c r="M389" i="21"/>
  <c r="Y389" i="21" s="1"/>
  <c r="M261" i="21"/>
  <c r="Y261" i="21" s="1"/>
  <c r="M366" i="21"/>
  <c r="Y366" i="21" s="1"/>
  <c r="M238" i="21"/>
  <c r="Y238" i="21" s="1"/>
  <c r="M100" i="21"/>
  <c r="Y100" i="21" s="1"/>
  <c r="M355" i="21"/>
  <c r="Y355" i="21" s="1"/>
  <c r="M227" i="21"/>
  <c r="Y227" i="21" s="1"/>
  <c r="M332" i="21"/>
  <c r="Y332" i="21" s="1"/>
  <c r="M194" i="21"/>
  <c r="Y194" i="21" s="1"/>
  <c r="M353" i="21"/>
  <c r="Y353" i="21" s="1"/>
  <c r="M225" i="21"/>
  <c r="Y225" i="21" s="1"/>
  <c r="M330" i="21"/>
  <c r="Y330" i="21" s="1"/>
  <c r="M192" i="21"/>
  <c r="Y192" i="21" s="1"/>
  <c r="M283" i="21"/>
  <c r="Y283" i="21" s="1"/>
  <c r="M189" i="21"/>
  <c r="Y189" i="21" s="1"/>
  <c r="M205" i="21"/>
  <c r="Y205" i="21" s="1"/>
  <c r="M37" i="21"/>
  <c r="Y37" i="21" s="1"/>
  <c r="M62" i="21"/>
  <c r="Y62" i="21" s="1"/>
  <c r="M149" i="21"/>
  <c r="Y149" i="21" s="1"/>
  <c r="M114" i="21"/>
  <c r="Y114" i="21" s="1"/>
  <c r="M372" i="21"/>
  <c r="Y372" i="21" s="1"/>
  <c r="M377" i="21"/>
  <c r="Y377" i="21" s="1"/>
  <c r="M249" i="21"/>
  <c r="Y249" i="21" s="1"/>
  <c r="M354" i="21"/>
  <c r="Y354" i="21" s="1"/>
  <c r="M226" i="21"/>
  <c r="Y226" i="21" s="1"/>
  <c r="M216" i="21"/>
  <c r="Y216" i="21" s="1"/>
  <c r="M88" i="21"/>
  <c r="Y88" i="21" s="1"/>
  <c r="M295" i="21"/>
  <c r="Y295" i="21" s="1"/>
  <c r="M272" i="21"/>
  <c r="Y272" i="21" s="1"/>
  <c r="M118" i="21"/>
  <c r="Y118" i="21" s="1"/>
  <c r="M373" i="21"/>
  <c r="Y373" i="21" s="1"/>
  <c r="M245" i="21"/>
  <c r="Y245" i="21" s="1"/>
  <c r="M350" i="21"/>
  <c r="Y350" i="21" s="1"/>
  <c r="M222" i="21"/>
  <c r="Y222" i="21" s="1"/>
  <c r="M212" i="21"/>
  <c r="Y212" i="21" s="1"/>
  <c r="M84" i="21"/>
  <c r="Y84" i="21" s="1"/>
  <c r="M339" i="21"/>
  <c r="Y339" i="21" s="1"/>
  <c r="M316" i="21"/>
  <c r="Y316" i="21" s="1"/>
  <c r="M178" i="21"/>
  <c r="Y178" i="21" s="1"/>
  <c r="M337" i="21"/>
  <c r="Y337" i="21" s="1"/>
  <c r="M115" i="21"/>
  <c r="Y115" i="21" s="1"/>
  <c r="M74" i="21"/>
  <c r="Y74" i="21" s="1"/>
  <c r="M113" i="21"/>
  <c r="Y113" i="21" s="1"/>
  <c r="M228" i="21"/>
  <c r="Y228" i="21" s="1"/>
  <c r="M159" i="21"/>
  <c r="Y159" i="21" s="1"/>
  <c r="M53" i="21"/>
  <c r="Y53" i="21" s="1"/>
  <c r="M78" i="21"/>
  <c r="Y78" i="21" s="1"/>
  <c r="M97" i="21"/>
  <c r="Y97" i="21" s="1"/>
  <c r="M174" i="21"/>
  <c r="Y174" i="21" s="1"/>
  <c r="M361" i="21"/>
  <c r="Y361" i="21" s="1"/>
  <c r="M233" i="21"/>
  <c r="Y233" i="21" s="1"/>
  <c r="M338" i="21"/>
  <c r="Y338" i="21" s="1"/>
  <c r="M200" i="21"/>
  <c r="Y200" i="21" s="1"/>
  <c r="M279" i="21"/>
  <c r="Y279" i="21" s="1"/>
  <c r="M384" i="21"/>
  <c r="Y384" i="21" s="1"/>
  <c r="M256" i="21"/>
  <c r="Y256" i="21" s="1"/>
  <c r="M102" i="21"/>
  <c r="Y102" i="21" s="1"/>
  <c r="M357" i="21"/>
  <c r="Y357" i="21" s="1"/>
  <c r="M229" i="21"/>
  <c r="Y229" i="21" s="1"/>
  <c r="M334" i="21"/>
  <c r="Y334" i="21" s="1"/>
  <c r="M196" i="21"/>
  <c r="Y196" i="21" s="1"/>
  <c r="M323" i="21"/>
  <c r="Y323" i="21" s="1"/>
  <c r="M300" i="21"/>
  <c r="Y300" i="21" s="1"/>
  <c r="M162" i="21"/>
  <c r="Y162" i="21" s="1"/>
  <c r="M321" i="21"/>
  <c r="Y321" i="21" s="1"/>
  <c r="M298" i="21"/>
  <c r="Y298" i="21" s="1"/>
  <c r="M160" i="21"/>
  <c r="Y160" i="21" s="1"/>
  <c r="M351" i="21"/>
  <c r="Y351" i="21" s="1"/>
  <c r="M35" i="21"/>
  <c r="Y35" i="21" s="1"/>
  <c r="M191" i="21"/>
  <c r="Y191" i="21" s="1"/>
  <c r="M51" i="21"/>
  <c r="Y51" i="21" s="1"/>
  <c r="M67" i="21"/>
  <c r="Y67" i="21" s="1"/>
  <c r="M193" i="21"/>
  <c r="Y193" i="21" s="1"/>
  <c r="M69" i="21"/>
  <c r="Y69" i="21" s="1"/>
  <c r="M99" i="21"/>
  <c r="Y99" i="21" s="1"/>
  <c r="M39" i="21"/>
  <c r="Y39" i="21" s="1"/>
  <c r="M345" i="21"/>
  <c r="Y345" i="21" s="1"/>
  <c r="M322" i="21"/>
  <c r="Y322" i="21" s="1"/>
  <c r="M184" i="21"/>
  <c r="Y184" i="21" s="1"/>
  <c r="M263" i="21"/>
  <c r="Y263" i="21" s="1"/>
  <c r="M368" i="21"/>
  <c r="Y368" i="21" s="1"/>
  <c r="M240" i="21"/>
  <c r="Y240" i="21" s="1"/>
  <c r="M214" i="21"/>
  <c r="Y214" i="21" s="1"/>
  <c r="M86" i="21"/>
  <c r="Y86" i="21" s="1"/>
  <c r="M341" i="21"/>
  <c r="Y341" i="21" s="1"/>
  <c r="M318" i="21"/>
  <c r="Y318" i="21" s="1"/>
  <c r="M180" i="21"/>
  <c r="Y180" i="21" s="1"/>
  <c r="M85" i="21"/>
  <c r="Y85" i="21" s="1"/>
  <c r="M141" i="21"/>
  <c r="Y141" i="21" s="1"/>
  <c r="M187" i="21"/>
  <c r="Y187" i="21" s="1"/>
  <c r="M28" i="21"/>
  <c r="Y28" i="21" s="1"/>
  <c r="M87" i="21"/>
  <c r="Y87" i="21" s="1"/>
  <c r="M55" i="21"/>
  <c r="Y55" i="21" s="1"/>
  <c r="M329" i="21"/>
  <c r="Y329" i="21" s="1"/>
  <c r="M306" i="21"/>
  <c r="Y306" i="21" s="1"/>
  <c r="M168" i="21"/>
  <c r="Y168" i="21" s="1"/>
  <c r="M375" i="21"/>
  <c r="Y375" i="21" s="1"/>
  <c r="M247" i="21"/>
  <c r="Y247" i="21" s="1"/>
  <c r="M352" i="21"/>
  <c r="Y352" i="21" s="1"/>
  <c r="M224" i="21"/>
  <c r="Y224" i="21" s="1"/>
  <c r="M198" i="21"/>
  <c r="Y198" i="21" s="1"/>
  <c r="M325" i="21"/>
  <c r="Y325" i="21" s="1"/>
  <c r="M302" i="21"/>
  <c r="Y302" i="21" s="1"/>
  <c r="M164" i="21"/>
  <c r="Y164" i="21" s="1"/>
  <c r="M291" i="21"/>
  <c r="Y291" i="21" s="1"/>
  <c r="M268" i="21"/>
  <c r="Y268" i="21" s="1"/>
  <c r="M130" i="21"/>
  <c r="Y130" i="21" s="1"/>
  <c r="M289" i="21"/>
  <c r="Y289" i="21" s="1"/>
  <c r="M266" i="21"/>
  <c r="Y266" i="21" s="1"/>
  <c r="M128" i="21"/>
  <c r="Y128" i="21" s="1"/>
  <c r="M319" i="21"/>
  <c r="Y319" i="21" s="1"/>
  <c r="M158" i="21"/>
  <c r="Y158" i="21" s="1"/>
  <c r="M58" i="21"/>
  <c r="Y58" i="21" s="1"/>
  <c r="M44" i="21"/>
  <c r="Y44" i="21" s="1"/>
  <c r="M109" i="21"/>
  <c r="Y109" i="21" s="1"/>
  <c r="M232" i="21"/>
  <c r="Y232" i="21" s="1"/>
  <c r="M299" i="21"/>
  <c r="Y299" i="21" s="1"/>
  <c r="M163" i="21"/>
  <c r="Y163" i="21" s="1"/>
  <c r="M71" i="21"/>
  <c r="Y71" i="21" s="1"/>
  <c r="M313" i="21"/>
  <c r="Y313" i="21" s="1"/>
  <c r="M290" i="21"/>
  <c r="Y290" i="21" s="1"/>
  <c r="M152" i="21"/>
  <c r="Y152" i="21" s="1"/>
  <c r="M359" i="21"/>
  <c r="Y359" i="21" s="1"/>
  <c r="M231" i="21"/>
  <c r="Y231" i="21" s="1"/>
  <c r="M336" i="21"/>
  <c r="Y336" i="21" s="1"/>
  <c r="M182" i="21"/>
  <c r="Y182" i="21" s="1"/>
  <c r="M309" i="21"/>
  <c r="Y309" i="21" s="1"/>
  <c r="M286" i="21"/>
  <c r="Y286" i="21" s="1"/>
  <c r="M148" i="21"/>
  <c r="Y148" i="21" s="1"/>
  <c r="M275" i="21"/>
  <c r="Y275" i="21" s="1"/>
  <c r="M380" i="21"/>
  <c r="Y380" i="21" s="1"/>
  <c r="M252" i="21"/>
  <c r="Y252" i="21" s="1"/>
  <c r="M273" i="21"/>
  <c r="Y273" i="21" s="1"/>
  <c r="M378" i="21"/>
  <c r="Y378" i="21" s="1"/>
  <c r="M250" i="21"/>
  <c r="Y250" i="21" s="1"/>
  <c r="M112" i="21"/>
  <c r="Y112" i="21" s="1"/>
  <c r="M303" i="21"/>
  <c r="Y303" i="21" s="1"/>
  <c r="M356" i="21"/>
  <c r="Y356" i="21" s="1"/>
  <c r="M127" i="21"/>
  <c r="Y127" i="21" s="1"/>
  <c r="M60" i="21"/>
  <c r="Y60" i="21" s="1"/>
  <c r="M296" i="21"/>
  <c r="Y296" i="21" s="1"/>
  <c r="M209" i="21"/>
  <c r="Y209" i="21" s="1"/>
  <c r="M179" i="21"/>
  <c r="Y179" i="21" s="1"/>
  <c r="M315" i="21"/>
  <c r="Y315" i="21" s="1"/>
  <c r="M297" i="21"/>
  <c r="Y297" i="21" s="1"/>
  <c r="M274" i="21"/>
  <c r="Y274" i="21" s="1"/>
  <c r="M136" i="21"/>
  <c r="Y136" i="21" s="1"/>
  <c r="M343" i="21"/>
  <c r="Y343" i="21" s="1"/>
  <c r="M320" i="21"/>
  <c r="Y320" i="21" s="1"/>
  <c r="M166" i="21"/>
  <c r="Y166" i="21" s="1"/>
  <c r="M293" i="21"/>
  <c r="Y293" i="21" s="1"/>
  <c r="M270" i="21"/>
  <c r="Y270" i="21" s="1"/>
  <c r="M132" i="21"/>
  <c r="Y132" i="21" s="1"/>
  <c r="M387" i="21"/>
  <c r="Y387" i="21" s="1"/>
  <c r="M259" i="21"/>
  <c r="Y259" i="21" s="1"/>
  <c r="M364" i="21"/>
  <c r="Y364" i="21" s="1"/>
  <c r="M236" i="21"/>
  <c r="Y236" i="21" s="1"/>
  <c r="M385" i="21"/>
  <c r="Y385" i="21" s="1"/>
  <c r="M257" i="21"/>
  <c r="Y257" i="21" s="1"/>
  <c r="M362" i="21"/>
  <c r="Y362" i="21" s="1"/>
  <c r="M234" i="21"/>
  <c r="Y234" i="21" s="1"/>
  <c r="M96" i="21"/>
  <c r="Y96" i="21" s="1"/>
  <c r="M287" i="21"/>
  <c r="Y287" i="21" s="1"/>
  <c r="M106" i="21"/>
  <c r="Y106" i="21" s="1"/>
  <c r="M386" i="21"/>
  <c r="Y386" i="21" s="1"/>
  <c r="M327" i="21"/>
  <c r="Y327" i="21" s="1"/>
  <c r="M371" i="21"/>
  <c r="Y371" i="21" s="1"/>
  <c r="M348" i="21"/>
  <c r="Y348" i="21" s="1"/>
  <c r="M144" i="21"/>
  <c r="Y144" i="21" s="1"/>
  <c r="M239" i="21"/>
  <c r="Y239" i="21" s="1"/>
  <c r="M301" i="21"/>
  <c r="Y301" i="21" s="1"/>
  <c r="M278" i="21"/>
  <c r="Y278" i="21" s="1"/>
  <c r="M140" i="21"/>
  <c r="Y140" i="21" s="1"/>
  <c r="M167" i="21"/>
  <c r="Y167" i="21" s="1"/>
  <c r="M57" i="21"/>
  <c r="Y57" i="21" s="1"/>
  <c r="M27" i="21"/>
  <c r="Y27" i="21" s="1"/>
  <c r="M190" i="21"/>
  <c r="Y190" i="21" s="1"/>
  <c r="M68" i="21"/>
  <c r="Y68" i="21" s="1"/>
  <c r="M90" i="21"/>
  <c r="Y90" i="21" s="1"/>
  <c r="M328" i="21"/>
  <c r="Y328" i="21" s="1"/>
  <c r="M215" i="21"/>
  <c r="Y215" i="21" s="1"/>
  <c r="M63" i="21"/>
  <c r="Y63" i="21" s="1"/>
  <c r="M173" i="21"/>
  <c r="Y173" i="21" s="1"/>
  <c r="M33" i="21"/>
  <c r="M218" i="21"/>
  <c r="Y218" i="21" s="1"/>
  <c r="M101" i="21"/>
  <c r="Y101" i="21" s="1"/>
  <c r="M251" i="21"/>
  <c r="Y251" i="21" s="1"/>
  <c r="M151" i="21"/>
  <c r="Y151" i="21" s="1"/>
  <c r="M258" i="21"/>
  <c r="Y258" i="21" s="1"/>
  <c r="M307" i="21"/>
  <c r="Y307" i="21" s="1"/>
  <c r="M284" i="21"/>
  <c r="Y284" i="21" s="1"/>
  <c r="M80" i="21"/>
  <c r="Y80" i="21" s="1"/>
  <c r="M223" i="21"/>
  <c r="Y223" i="21" s="1"/>
  <c r="M285" i="21"/>
  <c r="Y285" i="21" s="1"/>
  <c r="M390" i="21"/>
  <c r="Y390" i="21" s="1"/>
  <c r="M262" i="21"/>
  <c r="Y262" i="21" s="1"/>
  <c r="M124" i="21"/>
  <c r="Y124" i="21" s="1"/>
  <c r="M195" i="21"/>
  <c r="Y195" i="21" s="1"/>
  <c r="M73" i="21"/>
  <c r="Y73" i="21" s="1"/>
  <c r="M139" i="21"/>
  <c r="Y139" i="21" s="1"/>
  <c r="M43" i="21"/>
  <c r="Y43" i="21" s="1"/>
  <c r="M105" i="21"/>
  <c r="Y105" i="21" s="1"/>
  <c r="M201" i="21"/>
  <c r="Y201" i="21" s="1"/>
  <c r="M161" i="21"/>
  <c r="Y161" i="21" s="1"/>
  <c r="M138" i="21"/>
  <c r="Y138" i="21" s="1"/>
  <c r="M79" i="21"/>
  <c r="Y79" i="21" s="1"/>
  <c r="M49" i="21"/>
  <c r="Y49" i="21" s="1"/>
  <c r="M244" i="21"/>
  <c r="Y244" i="21" s="1"/>
  <c r="M116" i="21"/>
  <c r="Y116" i="21" s="1"/>
  <c r="M243" i="21"/>
  <c r="Y243" i="21" s="1"/>
  <c r="M369" i="21"/>
  <c r="Y369" i="21" s="1"/>
  <c r="M269" i="21"/>
  <c r="Y269" i="21" s="1"/>
  <c r="M374" i="21"/>
  <c r="Y374" i="21" s="1"/>
  <c r="M246" i="21"/>
  <c r="Y246" i="21" s="1"/>
  <c r="M108" i="21"/>
  <c r="Y108" i="21" s="1"/>
  <c r="M32" i="21"/>
  <c r="Y32" i="21" s="1"/>
  <c r="M93" i="21"/>
  <c r="Y93" i="21" s="1"/>
  <c r="M248" i="21"/>
  <c r="Y248" i="21" s="1"/>
  <c r="M331" i="21"/>
  <c r="Y331" i="21" s="1"/>
  <c r="M183" i="21"/>
  <c r="Y183" i="21" s="1"/>
  <c r="M59" i="21"/>
  <c r="Y59" i="21" s="1"/>
  <c r="M107" i="21"/>
  <c r="Y107" i="21" s="1"/>
  <c r="M29" i="21"/>
  <c r="Y29" i="21" s="1"/>
  <c r="M202" i="21"/>
  <c r="Y202" i="21" s="1"/>
  <c r="M38" i="21"/>
  <c r="Y38" i="21" s="1"/>
  <c r="M276" i="21"/>
  <c r="Y276" i="21" s="1"/>
  <c r="M379" i="21"/>
  <c r="Y379" i="21" s="1"/>
  <c r="M65" i="21"/>
  <c r="Y65" i="21" s="1"/>
  <c r="M277" i="21"/>
  <c r="Y277" i="21" s="1"/>
  <c r="M305" i="21"/>
  <c r="Y305" i="21" s="1"/>
  <c r="M383" i="21"/>
  <c r="Y383" i="21" s="1"/>
  <c r="M381" i="21"/>
  <c r="Y381" i="21" s="1"/>
  <c r="M253" i="21"/>
  <c r="Y253" i="21" s="1"/>
  <c r="M358" i="21"/>
  <c r="Y358" i="21" s="1"/>
  <c r="M230" i="21"/>
  <c r="Y230" i="21" s="1"/>
  <c r="M220" i="21"/>
  <c r="Y220" i="21" s="1"/>
  <c r="M92" i="21"/>
  <c r="Y92" i="21" s="1"/>
  <c r="M48" i="21"/>
  <c r="Y48" i="21" s="1"/>
  <c r="M312" i="21"/>
  <c r="Y312" i="21" s="1"/>
  <c r="M211" i="21"/>
  <c r="Y211" i="21" s="1"/>
  <c r="M75" i="21"/>
  <c r="Y75" i="21" s="1"/>
  <c r="M143" i="21"/>
  <c r="Y143" i="21" s="1"/>
  <c r="M45" i="21"/>
  <c r="Y45" i="21" s="1"/>
  <c r="M219" i="21"/>
  <c r="Y219" i="21" s="1"/>
  <c r="M54" i="21"/>
  <c r="Y54" i="21" s="1"/>
  <c r="M133" i="21"/>
  <c r="Y133" i="21" s="1"/>
  <c r="M94" i="21"/>
  <c r="Y94" i="21" s="1"/>
  <c r="M340" i="21"/>
  <c r="Y340" i="21" s="1"/>
  <c r="M110" i="21"/>
  <c r="Y110" i="21" s="1"/>
  <c r="M120" i="21"/>
  <c r="Y120" i="21" s="1"/>
  <c r="M304" i="21"/>
  <c r="Y304" i="21" s="1"/>
  <c r="M241" i="21"/>
  <c r="Y241" i="21" s="1"/>
  <c r="M367" i="21"/>
  <c r="Y367" i="21" s="1"/>
  <c r="M365" i="21"/>
  <c r="Y365" i="21" s="1"/>
  <c r="M237" i="21"/>
  <c r="Y237" i="21" s="1"/>
  <c r="M342" i="21"/>
  <c r="Y342" i="21" s="1"/>
  <c r="M204" i="21"/>
  <c r="Y204" i="21" s="1"/>
  <c r="M64" i="21"/>
  <c r="Y64" i="21" s="1"/>
  <c r="M197" i="21"/>
  <c r="Y197" i="21" s="1"/>
  <c r="M376" i="21"/>
  <c r="Y376" i="21" s="1"/>
  <c r="M34" i="21"/>
  <c r="Y34" i="21" s="1"/>
  <c r="M95" i="21"/>
  <c r="Y95" i="21" s="1"/>
  <c r="M199" i="21"/>
  <c r="Y199" i="21" s="1"/>
  <c r="M61" i="21"/>
  <c r="Y61" i="21" s="1"/>
  <c r="M70" i="21"/>
  <c r="Y70" i="21" s="1"/>
  <c r="M165" i="21"/>
  <c r="Y165" i="21" s="1"/>
  <c r="M142" i="21"/>
  <c r="Y142" i="21" s="1"/>
  <c r="M40" i="21"/>
  <c r="Y40" i="21" s="1"/>
  <c r="M103" i="21"/>
  <c r="Y103" i="21" s="1"/>
  <c r="M267" i="21"/>
  <c r="Y267" i="21" s="1"/>
  <c r="M137" i="21"/>
  <c r="Y137" i="21" s="1"/>
  <c r="M98" i="21"/>
  <c r="Y98" i="21" s="1"/>
  <c r="M344" i="21"/>
  <c r="Y344" i="21" s="1"/>
  <c r="M150" i="21"/>
  <c r="Y150" i="21" s="1"/>
  <c r="M176" i="21"/>
  <c r="Y176" i="21" s="1"/>
  <c r="M156" i="21"/>
  <c r="Y156" i="21" s="1"/>
  <c r="M123" i="21"/>
  <c r="Y123" i="21" s="1"/>
  <c r="M135" i="21"/>
  <c r="Y135" i="21" s="1"/>
  <c r="M76" i="21"/>
  <c r="Y76" i="21" s="1"/>
  <c r="M360" i="21"/>
  <c r="Y360" i="21" s="1"/>
  <c r="M30" i="21"/>
  <c r="Y30" i="21" s="1"/>
  <c r="M111" i="21"/>
  <c r="Y111" i="21" s="1"/>
  <c r="M281" i="21"/>
  <c r="Y281" i="21" s="1"/>
  <c r="M346" i="21"/>
  <c r="Y346" i="21" s="1"/>
  <c r="M335" i="21"/>
  <c r="Y335" i="21" s="1"/>
  <c r="M349" i="21"/>
  <c r="Y349" i="21" s="1"/>
  <c r="M221" i="21"/>
  <c r="Y221" i="21" s="1"/>
  <c r="M326" i="21"/>
  <c r="Y326" i="21" s="1"/>
  <c r="M188" i="21"/>
  <c r="Y188" i="21" s="1"/>
  <c r="M169" i="21"/>
  <c r="Y169" i="21" s="1"/>
  <c r="M153" i="21"/>
  <c r="Y153" i="21" s="1"/>
  <c r="M122" i="21"/>
  <c r="Y122" i="21" s="1"/>
  <c r="M50" i="21"/>
  <c r="Y50" i="21" s="1"/>
  <c r="M117" i="21"/>
  <c r="Y117" i="21" s="1"/>
  <c r="M260" i="21"/>
  <c r="Y260" i="21" s="1"/>
  <c r="M347" i="21"/>
  <c r="Y347" i="21" s="1"/>
  <c r="M77" i="21"/>
  <c r="Y77" i="21" s="1"/>
  <c r="M217" i="21"/>
  <c r="Y217" i="21" s="1"/>
  <c r="M206" i="21"/>
  <c r="Y206" i="21" s="1"/>
  <c r="M56" i="21"/>
  <c r="Y56" i="21" s="1"/>
  <c r="M125" i="21"/>
  <c r="Y125" i="21" s="1"/>
  <c r="M280" i="21"/>
  <c r="Y280" i="21" s="1"/>
  <c r="M72" i="21"/>
  <c r="Y72" i="21" s="1"/>
  <c r="M89" i="21"/>
  <c r="Y89" i="21" s="1"/>
  <c r="M146" i="21"/>
  <c r="Y146" i="21" s="1"/>
  <c r="M282" i="21"/>
  <c r="Y282" i="21" s="1"/>
  <c r="M255" i="21"/>
  <c r="Y255" i="21" s="1"/>
  <c r="M294" i="21"/>
  <c r="Y294" i="21" s="1"/>
  <c r="M145" i="21"/>
  <c r="Y145" i="21" s="1"/>
  <c r="M203" i="21"/>
  <c r="Y203" i="21" s="1"/>
  <c r="M382" i="21"/>
  <c r="Y382" i="21" s="1"/>
  <c r="M210" i="21"/>
  <c r="Y210" i="21" s="1"/>
  <c r="M314" i="21"/>
  <c r="Y314" i="21" s="1"/>
  <c r="M208" i="21"/>
  <c r="Y208" i="21" s="1"/>
  <c r="M271" i="21"/>
  <c r="Y271" i="21" s="1"/>
  <c r="M333" i="21"/>
  <c r="Y333" i="21" s="1"/>
  <c r="M310" i="21"/>
  <c r="Y310" i="21" s="1"/>
  <c r="M172" i="21"/>
  <c r="Y172" i="21" s="1"/>
  <c r="M121" i="21"/>
  <c r="Y121" i="21" s="1"/>
  <c r="M26" i="21"/>
  <c r="Y26" i="21" s="1"/>
  <c r="M186" i="21"/>
  <c r="Y186" i="21" s="1"/>
  <c r="M66" i="21"/>
  <c r="Y66" i="21" s="1"/>
  <c r="M81" i="21"/>
  <c r="Y81" i="21" s="1"/>
  <c r="M213" i="21"/>
  <c r="Y213" i="21" s="1"/>
  <c r="M82" i="21"/>
  <c r="Y82" i="21" s="1"/>
  <c r="M324" i="21"/>
  <c r="Y324" i="21" s="1"/>
  <c r="M36" i="21"/>
  <c r="Y36" i="21" s="1"/>
  <c r="M235" i="21"/>
  <c r="Y235" i="21" s="1"/>
  <c r="M129" i="21"/>
  <c r="Y129" i="21" s="1"/>
  <c r="M31" i="21"/>
  <c r="Y31" i="21" s="1"/>
  <c r="M254" i="21"/>
  <c r="Y254" i="21" s="1"/>
  <c r="M317" i="21"/>
  <c r="Y317" i="21" s="1"/>
  <c r="M83" i="21"/>
  <c r="Y83" i="21" s="1"/>
  <c r="M157" i="21"/>
  <c r="Y157" i="21" s="1"/>
  <c r="M47" i="21"/>
  <c r="Y47" i="21" s="1"/>
  <c r="M185" i="21"/>
  <c r="Y185" i="21" s="1"/>
  <c r="M264" i="21"/>
  <c r="Y264" i="21" s="1"/>
  <c r="M91" i="21"/>
  <c r="Y91" i="21" s="1"/>
  <c r="M363" i="21"/>
  <c r="Y363" i="21" s="1"/>
  <c r="M147" i="21"/>
  <c r="Y147" i="21" s="1"/>
  <c r="M52" i="21"/>
  <c r="Y52" i="21" s="1"/>
  <c r="M119" i="21"/>
  <c r="Y119" i="21" s="1"/>
  <c r="M126" i="21"/>
  <c r="Y126" i="21" s="1"/>
  <c r="M175" i="21"/>
  <c r="Y175" i="21" s="1"/>
  <c r="M41" i="21"/>
  <c r="Y41" i="21" s="1"/>
  <c r="M388" i="21"/>
  <c r="Y388" i="21" s="1"/>
  <c r="M171" i="21"/>
  <c r="Y171" i="21" s="1"/>
  <c r="M131" i="21"/>
  <c r="Y131" i="21" s="1"/>
  <c r="M154" i="21"/>
  <c r="Y154" i="21" s="1"/>
  <c r="GR4" i="13"/>
  <c r="C48" i="42"/>
  <c r="F48" i="42"/>
  <c r="J48" i="42"/>
  <c r="I48" i="42"/>
  <c r="HJ9" i="13"/>
  <c r="F56" i="24"/>
  <c r="K12" i="21" s="1"/>
  <c r="HJ4" i="13"/>
  <c r="F55" i="24" s="1"/>
  <c r="I12" i="21" s="1"/>
  <c r="HJ3" i="13"/>
  <c r="HI5" i="13"/>
  <c r="HJ7" i="13"/>
  <c r="HI6" i="13"/>
  <c r="HI10" i="13"/>
  <c r="HI8" i="13"/>
  <c r="Y25" i="21" l="1"/>
  <c r="GQ10" i="13" s="1"/>
  <c r="GP11" i="13"/>
  <c r="C51" i="42"/>
  <c r="D10" i="24" s="1"/>
  <c r="GS4" i="13"/>
  <c r="GN14" i="13"/>
  <c r="GN15" i="13"/>
  <c r="O386" i="21"/>
  <c r="Z385" i="21" s="1"/>
  <c r="O378" i="21"/>
  <c r="Z377" i="21" s="1"/>
  <c r="O370" i="21"/>
  <c r="Z369" i="21" s="1"/>
  <c r="O362" i="21"/>
  <c r="Z361" i="21" s="1"/>
  <c r="O354" i="21"/>
  <c r="Z353" i="21" s="1"/>
  <c r="O346" i="21"/>
  <c r="Z345" i="21" s="1"/>
  <c r="O338" i="21"/>
  <c r="Z337" i="21" s="1"/>
  <c r="O330" i="21"/>
  <c r="Z329" i="21" s="1"/>
  <c r="O322" i="21"/>
  <c r="Z321" i="21" s="1"/>
  <c r="O314" i="21"/>
  <c r="Z313" i="21" s="1"/>
  <c r="O306" i="21"/>
  <c r="Z305" i="21" s="1"/>
  <c r="O298" i="21"/>
  <c r="Z297" i="21" s="1"/>
  <c r="O290" i="21"/>
  <c r="Z289" i="21" s="1"/>
  <c r="O282" i="21"/>
  <c r="Z281" i="21" s="1"/>
  <c r="O274" i="21"/>
  <c r="Z273" i="21" s="1"/>
  <c r="O266" i="21"/>
  <c r="Z265" i="21" s="1"/>
  <c r="O258" i="21"/>
  <c r="Z257" i="21" s="1"/>
  <c r="O250" i="21"/>
  <c r="Z249" i="21" s="1"/>
  <c r="O242" i="21"/>
  <c r="Z241" i="21" s="1"/>
  <c r="O234" i="21"/>
  <c r="Z233" i="21" s="1"/>
  <c r="O226" i="21"/>
  <c r="Z225" i="21" s="1"/>
  <c r="O218" i="21"/>
  <c r="Z217" i="21" s="1"/>
  <c r="O210" i="21"/>
  <c r="Z209" i="21" s="1"/>
  <c r="O202" i="21"/>
  <c r="Z201" i="21" s="1"/>
  <c r="O194" i="21"/>
  <c r="Z193" i="21" s="1"/>
  <c r="O186" i="21"/>
  <c r="Z185" i="21" s="1"/>
  <c r="O178" i="21"/>
  <c r="Z177" i="21" s="1"/>
  <c r="O170" i="21"/>
  <c r="Z169" i="21" s="1"/>
  <c r="O162" i="21"/>
  <c r="Z161" i="21" s="1"/>
  <c r="O154" i="21"/>
  <c r="Z153" i="21" s="1"/>
  <c r="O146" i="21"/>
  <c r="Z145" i="21" s="1"/>
  <c r="O138" i="21"/>
  <c r="Z137" i="21" s="1"/>
  <c r="O130" i="21"/>
  <c r="Z129" i="21" s="1"/>
  <c r="O122" i="21"/>
  <c r="Z121" i="21" s="1"/>
  <c r="O114" i="21"/>
  <c r="Z113" i="21" s="1"/>
  <c r="O106" i="21"/>
  <c r="Z105" i="21" s="1"/>
  <c r="O98" i="21"/>
  <c r="Z97" i="21" s="1"/>
  <c r="O90" i="21"/>
  <c r="Z89" i="21" s="1"/>
  <c r="O82" i="21"/>
  <c r="Z81" i="21" s="1"/>
  <c r="O74" i="21"/>
  <c r="Z73" i="21" s="1"/>
  <c r="O66" i="21"/>
  <c r="Z65" i="21" s="1"/>
  <c r="O58" i="21"/>
  <c r="Z57" i="21" s="1"/>
  <c r="O50" i="21"/>
  <c r="Z49" i="21" s="1"/>
  <c r="O42" i="21"/>
  <c r="Z41" i="21" s="1"/>
  <c r="O34" i="21"/>
  <c r="Z33" i="21" s="1"/>
  <c r="O26" i="21"/>
  <c r="Z25" i="21" s="1"/>
  <c r="O40" i="21"/>
  <c r="Z39" i="21" s="1"/>
  <c r="O385" i="21"/>
  <c r="Z384" i="21" s="1"/>
  <c r="O377" i="21"/>
  <c r="Z376" i="21" s="1"/>
  <c r="O369" i="21"/>
  <c r="Z368" i="21" s="1"/>
  <c r="O361" i="21"/>
  <c r="Z360" i="21" s="1"/>
  <c r="O353" i="21"/>
  <c r="Z352" i="21" s="1"/>
  <c r="O345" i="21"/>
  <c r="Z344" i="21" s="1"/>
  <c r="O337" i="21"/>
  <c r="Z336" i="21" s="1"/>
  <c r="O329" i="21"/>
  <c r="Z328" i="21" s="1"/>
  <c r="O321" i="21"/>
  <c r="Z320" i="21" s="1"/>
  <c r="O313" i="21"/>
  <c r="Z312" i="21" s="1"/>
  <c r="O305" i="21"/>
  <c r="Z304" i="21" s="1"/>
  <c r="O297" i="21"/>
  <c r="Z296" i="21" s="1"/>
  <c r="O289" i="21"/>
  <c r="Z288" i="21" s="1"/>
  <c r="O281" i="21"/>
  <c r="Z280" i="21" s="1"/>
  <c r="O273" i="21"/>
  <c r="Z272" i="21" s="1"/>
  <c r="O265" i="21"/>
  <c r="Z264" i="21" s="1"/>
  <c r="O257" i="21"/>
  <c r="Z256" i="21" s="1"/>
  <c r="O249" i="21"/>
  <c r="Z248" i="21" s="1"/>
  <c r="O241" i="21"/>
  <c r="Z240" i="21" s="1"/>
  <c r="O233" i="21"/>
  <c r="Z232" i="21" s="1"/>
  <c r="O225" i="21"/>
  <c r="Z224" i="21" s="1"/>
  <c r="O217" i="21"/>
  <c r="Z216" i="21" s="1"/>
  <c r="O209" i="21"/>
  <c r="Z208" i="21" s="1"/>
  <c r="O201" i="21"/>
  <c r="Z200" i="21" s="1"/>
  <c r="O193" i="21"/>
  <c r="Z192" i="21" s="1"/>
  <c r="O185" i="21"/>
  <c r="Z184" i="21" s="1"/>
  <c r="O177" i="21"/>
  <c r="Z176" i="21" s="1"/>
  <c r="O169" i="21"/>
  <c r="Z168" i="21" s="1"/>
  <c r="O161" i="21"/>
  <c r="Z160" i="21" s="1"/>
  <c r="O153" i="21"/>
  <c r="Z152" i="21" s="1"/>
  <c r="O145" i="21"/>
  <c r="Z144" i="21" s="1"/>
  <c r="O137" i="21"/>
  <c r="Z136" i="21" s="1"/>
  <c r="O129" i="21"/>
  <c r="Z128" i="21" s="1"/>
  <c r="O121" i="21"/>
  <c r="Z120" i="21" s="1"/>
  <c r="O113" i="21"/>
  <c r="Z112" i="21" s="1"/>
  <c r="O105" i="21"/>
  <c r="Z104" i="21" s="1"/>
  <c r="O97" i="21"/>
  <c r="Z96" i="21" s="1"/>
  <c r="O89" i="21"/>
  <c r="Z88" i="21" s="1"/>
  <c r="O81" i="21"/>
  <c r="Z80" i="21" s="1"/>
  <c r="O73" i="21"/>
  <c r="Z72" i="21" s="1"/>
  <c r="O65" i="21"/>
  <c r="Z64" i="21" s="1"/>
  <c r="O57" i="21"/>
  <c r="Z56" i="21" s="1"/>
  <c r="O49" i="21"/>
  <c r="Z48" i="21" s="1"/>
  <c r="O41" i="21"/>
  <c r="Z40" i="21" s="1"/>
  <c r="O33" i="21"/>
  <c r="O25" i="21"/>
  <c r="O120" i="21"/>
  <c r="Z119" i="21" s="1"/>
  <c r="O112" i="21"/>
  <c r="Z111" i="21" s="1"/>
  <c r="O104" i="21"/>
  <c r="Z103" i="21" s="1"/>
  <c r="O96" i="21"/>
  <c r="Z95" i="21" s="1"/>
  <c r="O88" i="21"/>
  <c r="Z87" i="21" s="1"/>
  <c r="O80" i="21"/>
  <c r="Z79" i="21" s="1"/>
  <c r="O72" i="21"/>
  <c r="Z71" i="21" s="1"/>
  <c r="O64" i="21"/>
  <c r="Z63" i="21" s="1"/>
  <c r="O56" i="21"/>
  <c r="Z55" i="21" s="1"/>
  <c r="O48" i="21"/>
  <c r="Z47" i="21" s="1"/>
  <c r="O32" i="21"/>
  <c r="Z31" i="21" s="1"/>
  <c r="O384" i="21"/>
  <c r="Z383" i="21" s="1"/>
  <c r="O376" i="21"/>
  <c r="Z375" i="21" s="1"/>
  <c r="O368" i="21"/>
  <c r="Z367" i="21" s="1"/>
  <c r="O360" i="21"/>
  <c r="Z359" i="21" s="1"/>
  <c r="O352" i="21"/>
  <c r="Z351" i="21" s="1"/>
  <c r="O344" i="21"/>
  <c r="Z343" i="21" s="1"/>
  <c r="O336" i="21"/>
  <c r="Z335" i="21" s="1"/>
  <c r="O328" i="21"/>
  <c r="Z327" i="21" s="1"/>
  <c r="O320" i="21"/>
  <c r="Z319" i="21" s="1"/>
  <c r="O312" i="21"/>
  <c r="Z311" i="21" s="1"/>
  <c r="O304" i="21"/>
  <c r="Z303" i="21" s="1"/>
  <c r="O296" i="21"/>
  <c r="Z295" i="21" s="1"/>
  <c r="O288" i="21"/>
  <c r="Z287" i="21" s="1"/>
  <c r="O280" i="21"/>
  <c r="Z279" i="21" s="1"/>
  <c r="O272" i="21"/>
  <c r="Z271" i="21" s="1"/>
  <c r="O264" i="21"/>
  <c r="Z263" i="21" s="1"/>
  <c r="O256" i="21"/>
  <c r="Z255" i="21" s="1"/>
  <c r="O248" i="21"/>
  <c r="Z247" i="21" s="1"/>
  <c r="O240" i="21"/>
  <c r="Z239" i="21" s="1"/>
  <c r="O232" i="21"/>
  <c r="Z231" i="21" s="1"/>
  <c r="O224" i="21"/>
  <c r="Z223" i="21" s="1"/>
  <c r="O216" i="21"/>
  <c r="Z215" i="21" s="1"/>
  <c r="O208" i="21"/>
  <c r="Z207" i="21" s="1"/>
  <c r="O200" i="21"/>
  <c r="Z199" i="21" s="1"/>
  <c r="O192" i="21"/>
  <c r="Z191" i="21" s="1"/>
  <c r="O184" i="21"/>
  <c r="Z183" i="21" s="1"/>
  <c r="O176" i="21"/>
  <c r="Z175" i="21" s="1"/>
  <c r="O168" i="21"/>
  <c r="Z167" i="21" s="1"/>
  <c r="O160" i="21"/>
  <c r="Z159" i="21" s="1"/>
  <c r="O152" i="21"/>
  <c r="Z151" i="21" s="1"/>
  <c r="O144" i="21"/>
  <c r="Z143" i="21" s="1"/>
  <c r="O136" i="21"/>
  <c r="Z135" i="21" s="1"/>
  <c r="O128" i="21"/>
  <c r="Z127" i="21" s="1"/>
  <c r="O383" i="21"/>
  <c r="Z382" i="21" s="1"/>
  <c r="O375" i="21"/>
  <c r="Z374" i="21" s="1"/>
  <c r="O367" i="21"/>
  <c r="Z366" i="21" s="1"/>
  <c r="O359" i="21"/>
  <c r="Z358" i="21" s="1"/>
  <c r="O351" i="21"/>
  <c r="Z350" i="21" s="1"/>
  <c r="O343" i="21"/>
  <c r="Z342" i="21" s="1"/>
  <c r="O335" i="21"/>
  <c r="Z334" i="21" s="1"/>
  <c r="O327" i="21"/>
  <c r="Z326" i="21" s="1"/>
  <c r="O319" i="21"/>
  <c r="Z318" i="21" s="1"/>
  <c r="O311" i="21"/>
  <c r="Z310" i="21" s="1"/>
  <c r="O303" i="21"/>
  <c r="Z302" i="21" s="1"/>
  <c r="O295" i="21"/>
  <c r="Z294" i="21" s="1"/>
  <c r="O287" i="21"/>
  <c r="Z286" i="21" s="1"/>
  <c r="O279" i="21"/>
  <c r="Z278" i="21" s="1"/>
  <c r="O271" i="21"/>
  <c r="Z270" i="21" s="1"/>
  <c r="O263" i="21"/>
  <c r="Z262" i="21" s="1"/>
  <c r="O255" i="21"/>
  <c r="Z254" i="21" s="1"/>
  <c r="O247" i="21"/>
  <c r="Z246" i="21" s="1"/>
  <c r="O239" i="21"/>
  <c r="Z238" i="21" s="1"/>
  <c r="O231" i="21"/>
  <c r="Z230" i="21" s="1"/>
  <c r="O223" i="21"/>
  <c r="Z222" i="21" s="1"/>
  <c r="O215" i="21"/>
  <c r="Z214" i="21" s="1"/>
  <c r="O207" i="21"/>
  <c r="Z206" i="21" s="1"/>
  <c r="O199" i="21"/>
  <c r="Z198" i="21" s="1"/>
  <c r="O191" i="21"/>
  <c r="Z190" i="21" s="1"/>
  <c r="O183" i="21"/>
  <c r="Z182" i="21" s="1"/>
  <c r="O175" i="21"/>
  <c r="Z174" i="21" s="1"/>
  <c r="O167" i="21"/>
  <c r="Z166" i="21" s="1"/>
  <c r="O159" i="21"/>
  <c r="Z158" i="21" s="1"/>
  <c r="O151" i="21"/>
  <c r="Z150" i="21" s="1"/>
  <c r="O143" i="21"/>
  <c r="Z142" i="21" s="1"/>
  <c r="O135" i="21"/>
  <c r="Z134" i="21" s="1"/>
  <c r="O127" i="21"/>
  <c r="Z126" i="21" s="1"/>
  <c r="O119" i="21"/>
  <c r="Z118" i="21" s="1"/>
  <c r="O111" i="21"/>
  <c r="Z110" i="21" s="1"/>
  <c r="O103" i="21"/>
  <c r="Z102" i="21" s="1"/>
  <c r="O95" i="21"/>
  <c r="Z94" i="21" s="1"/>
  <c r="O87" i="21"/>
  <c r="Z86" i="21" s="1"/>
  <c r="O79" i="21"/>
  <c r="Z78" i="21" s="1"/>
  <c r="O71" i="21"/>
  <c r="Z70" i="21" s="1"/>
  <c r="O63" i="21"/>
  <c r="Z62" i="21" s="1"/>
  <c r="O55" i="21"/>
  <c r="Z54" i="21" s="1"/>
  <c r="O47" i="21"/>
  <c r="Z46" i="21" s="1"/>
  <c r="O39" i="21"/>
  <c r="Z38" i="21" s="1"/>
  <c r="O31" i="21"/>
  <c r="Z30" i="21" s="1"/>
  <c r="O379" i="21"/>
  <c r="Z378" i="21" s="1"/>
  <c r="O299" i="21"/>
  <c r="Z298" i="21" s="1"/>
  <c r="O259" i="21"/>
  <c r="Z258" i="21" s="1"/>
  <c r="O235" i="21"/>
  <c r="Z234" i="21" s="1"/>
  <c r="O203" i="21"/>
  <c r="Z202" i="21" s="1"/>
  <c r="O171" i="21"/>
  <c r="Z170" i="21" s="1"/>
  <c r="O139" i="21"/>
  <c r="Z138" i="21" s="1"/>
  <c r="O123" i="21"/>
  <c r="Z122" i="21" s="1"/>
  <c r="O91" i="21"/>
  <c r="Z90" i="21" s="1"/>
  <c r="O59" i="21"/>
  <c r="Z58" i="21" s="1"/>
  <c r="O27" i="21"/>
  <c r="Z26" i="21" s="1"/>
  <c r="O390" i="21"/>
  <c r="Z389" i="21" s="1"/>
  <c r="O382" i="21"/>
  <c r="Z381" i="21" s="1"/>
  <c r="O374" i="21"/>
  <c r="Z373" i="21" s="1"/>
  <c r="O366" i="21"/>
  <c r="Z365" i="21" s="1"/>
  <c r="O358" i="21"/>
  <c r="Z357" i="21" s="1"/>
  <c r="O350" i="21"/>
  <c r="Z349" i="21" s="1"/>
  <c r="O342" i="21"/>
  <c r="Z341" i="21" s="1"/>
  <c r="O334" i="21"/>
  <c r="Z333" i="21" s="1"/>
  <c r="O326" i="21"/>
  <c r="Z325" i="21" s="1"/>
  <c r="O318" i="21"/>
  <c r="Z317" i="21" s="1"/>
  <c r="O310" i="21"/>
  <c r="Z309" i="21" s="1"/>
  <c r="O302" i="21"/>
  <c r="Z301" i="21" s="1"/>
  <c r="O294" i="21"/>
  <c r="Z293" i="21" s="1"/>
  <c r="O286" i="21"/>
  <c r="Z285" i="21" s="1"/>
  <c r="O278" i="21"/>
  <c r="Z277" i="21" s="1"/>
  <c r="O270" i="21"/>
  <c r="Z269" i="21" s="1"/>
  <c r="O262" i="21"/>
  <c r="Z261" i="21" s="1"/>
  <c r="O254" i="21"/>
  <c r="Z253" i="21" s="1"/>
  <c r="O246" i="21"/>
  <c r="Z245" i="21" s="1"/>
  <c r="O238" i="21"/>
  <c r="Z237" i="21" s="1"/>
  <c r="O230" i="21"/>
  <c r="Z229" i="21" s="1"/>
  <c r="O222" i="21"/>
  <c r="Z221" i="21" s="1"/>
  <c r="O214" i="21"/>
  <c r="Z213" i="21" s="1"/>
  <c r="O206" i="21"/>
  <c r="Z205" i="21" s="1"/>
  <c r="O198" i="21"/>
  <c r="Z197" i="21" s="1"/>
  <c r="O190" i="21"/>
  <c r="Z189" i="21" s="1"/>
  <c r="O182" i="21"/>
  <c r="Z181" i="21" s="1"/>
  <c r="O174" i="21"/>
  <c r="Z173" i="21" s="1"/>
  <c r="O166" i="21"/>
  <c r="Z165" i="21" s="1"/>
  <c r="O158" i="21"/>
  <c r="Z157" i="21" s="1"/>
  <c r="O150" i="21"/>
  <c r="Z149" i="21" s="1"/>
  <c r="O142" i="21"/>
  <c r="Z141" i="21" s="1"/>
  <c r="O134" i="21"/>
  <c r="Z133" i="21" s="1"/>
  <c r="O126" i="21"/>
  <c r="Z125" i="21" s="1"/>
  <c r="O118" i="21"/>
  <c r="Z117" i="21" s="1"/>
  <c r="O110" i="21"/>
  <c r="Z109" i="21" s="1"/>
  <c r="O102" i="21"/>
  <c r="Z101" i="21" s="1"/>
  <c r="O94" i="21"/>
  <c r="Z93" i="21" s="1"/>
  <c r="O86" i="21"/>
  <c r="Z85" i="21" s="1"/>
  <c r="O78" i="21"/>
  <c r="Z77" i="21" s="1"/>
  <c r="O70" i="21"/>
  <c r="Z69" i="21" s="1"/>
  <c r="O62" i="21"/>
  <c r="Z61" i="21" s="1"/>
  <c r="O54" i="21"/>
  <c r="Z53" i="21" s="1"/>
  <c r="O46" i="21"/>
  <c r="Z45" i="21" s="1"/>
  <c r="O38" i="21"/>
  <c r="Z37" i="21" s="1"/>
  <c r="O30" i="21"/>
  <c r="Z29" i="21" s="1"/>
  <c r="O387" i="21"/>
  <c r="Z386" i="21" s="1"/>
  <c r="O371" i="21"/>
  <c r="Z370" i="21" s="1"/>
  <c r="O355" i="21"/>
  <c r="Z354" i="21" s="1"/>
  <c r="O339" i="21"/>
  <c r="Z338" i="21" s="1"/>
  <c r="O331" i="21"/>
  <c r="Z330" i="21" s="1"/>
  <c r="O315" i="21"/>
  <c r="Z314" i="21" s="1"/>
  <c r="O291" i="21"/>
  <c r="Z290" i="21" s="1"/>
  <c r="O267" i="21"/>
  <c r="Z266" i="21" s="1"/>
  <c r="O243" i="21"/>
  <c r="Z242" i="21" s="1"/>
  <c r="O211" i="21"/>
  <c r="Z210" i="21" s="1"/>
  <c r="O187" i="21"/>
  <c r="Z186" i="21" s="1"/>
  <c r="O155" i="21"/>
  <c r="Z154" i="21" s="1"/>
  <c r="O107" i="21"/>
  <c r="Z106" i="21" s="1"/>
  <c r="O75" i="21"/>
  <c r="Z74" i="21" s="1"/>
  <c r="O43" i="21"/>
  <c r="Z42" i="21" s="1"/>
  <c r="O389" i="21"/>
  <c r="Z388" i="21" s="1"/>
  <c r="O381" i="21"/>
  <c r="Z380" i="21" s="1"/>
  <c r="O373" i="21"/>
  <c r="Z372" i="21" s="1"/>
  <c r="O365" i="21"/>
  <c r="Z364" i="21" s="1"/>
  <c r="O357" i="21"/>
  <c r="Z356" i="21" s="1"/>
  <c r="O349" i="21"/>
  <c r="Z348" i="21" s="1"/>
  <c r="O341" i="21"/>
  <c r="Z340" i="21" s="1"/>
  <c r="O333" i="21"/>
  <c r="Z332" i="21" s="1"/>
  <c r="O325" i="21"/>
  <c r="Z324" i="21" s="1"/>
  <c r="O317" i="21"/>
  <c r="Z316" i="21" s="1"/>
  <c r="O309" i="21"/>
  <c r="Z308" i="21" s="1"/>
  <c r="O301" i="21"/>
  <c r="Z300" i="21" s="1"/>
  <c r="O293" i="21"/>
  <c r="Z292" i="21" s="1"/>
  <c r="O285" i="21"/>
  <c r="Z284" i="21" s="1"/>
  <c r="O277" i="21"/>
  <c r="Z276" i="21" s="1"/>
  <c r="O269" i="21"/>
  <c r="Z268" i="21" s="1"/>
  <c r="O261" i="21"/>
  <c r="Z260" i="21" s="1"/>
  <c r="O253" i="21"/>
  <c r="Z252" i="21" s="1"/>
  <c r="O245" i="21"/>
  <c r="Z244" i="21" s="1"/>
  <c r="O237" i="21"/>
  <c r="Z236" i="21" s="1"/>
  <c r="O229" i="21"/>
  <c r="Z228" i="21" s="1"/>
  <c r="O221" i="21"/>
  <c r="Z220" i="21" s="1"/>
  <c r="O213" i="21"/>
  <c r="Z212" i="21" s="1"/>
  <c r="O205" i="21"/>
  <c r="Z204" i="21" s="1"/>
  <c r="O197" i="21"/>
  <c r="Z196" i="21" s="1"/>
  <c r="O189" i="21"/>
  <c r="Z188" i="21" s="1"/>
  <c r="O181" i="21"/>
  <c r="Z180" i="21" s="1"/>
  <c r="O173" i="21"/>
  <c r="Z172" i="21" s="1"/>
  <c r="O165" i="21"/>
  <c r="Z164" i="21" s="1"/>
  <c r="O157" i="21"/>
  <c r="Z156" i="21" s="1"/>
  <c r="O149" i="21"/>
  <c r="Z148" i="21" s="1"/>
  <c r="O141" i="21"/>
  <c r="Z140" i="21" s="1"/>
  <c r="O133" i="21"/>
  <c r="Z132" i="21" s="1"/>
  <c r="O125" i="21"/>
  <c r="Z124" i="21" s="1"/>
  <c r="O117" i="21"/>
  <c r="Z116" i="21" s="1"/>
  <c r="O109" i="21"/>
  <c r="Z108" i="21" s="1"/>
  <c r="O101" i="21"/>
  <c r="Z100" i="21" s="1"/>
  <c r="O93" i="21"/>
  <c r="Z92" i="21" s="1"/>
  <c r="O85" i="21"/>
  <c r="Z84" i="21" s="1"/>
  <c r="O77" i="21"/>
  <c r="Z76" i="21" s="1"/>
  <c r="O69" i="21"/>
  <c r="Z68" i="21" s="1"/>
  <c r="O61" i="21"/>
  <c r="Z60" i="21" s="1"/>
  <c r="O53" i="21"/>
  <c r="Z52" i="21" s="1"/>
  <c r="O45" i="21"/>
  <c r="Z44" i="21" s="1"/>
  <c r="O37" i="21"/>
  <c r="Z36" i="21" s="1"/>
  <c r="O29" i="21"/>
  <c r="Z28" i="21" s="1"/>
  <c r="O363" i="21"/>
  <c r="Z362" i="21" s="1"/>
  <c r="O347" i="21"/>
  <c r="Z346" i="21" s="1"/>
  <c r="O323" i="21"/>
  <c r="Z322" i="21" s="1"/>
  <c r="O307" i="21"/>
  <c r="Z306" i="21" s="1"/>
  <c r="O275" i="21"/>
  <c r="Z274" i="21" s="1"/>
  <c r="O251" i="21"/>
  <c r="Z250" i="21" s="1"/>
  <c r="O219" i="21"/>
  <c r="Z218" i="21" s="1"/>
  <c r="O195" i="21"/>
  <c r="Z194" i="21" s="1"/>
  <c r="O179" i="21"/>
  <c r="Z178" i="21" s="1"/>
  <c r="O147" i="21"/>
  <c r="Z146" i="21" s="1"/>
  <c r="O115" i="21"/>
  <c r="Z114" i="21" s="1"/>
  <c r="O83" i="21"/>
  <c r="Z82" i="21" s="1"/>
  <c r="O51" i="21"/>
  <c r="Z50" i="21" s="1"/>
  <c r="O35" i="21"/>
  <c r="Z34" i="21" s="1"/>
  <c r="O388" i="21"/>
  <c r="Z387" i="21" s="1"/>
  <c r="O380" i="21"/>
  <c r="Z379" i="21" s="1"/>
  <c r="O372" i="21"/>
  <c r="Z371" i="21" s="1"/>
  <c r="O364" i="21"/>
  <c r="Z363" i="21" s="1"/>
  <c r="O356" i="21"/>
  <c r="Z355" i="21" s="1"/>
  <c r="O348" i="21"/>
  <c r="Z347" i="21" s="1"/>
  <c r="O340" i="21"/>
  <c r="Z339" i="21" s="1"/>
  <c r="O332" i="21"/>
  <c r="Z331" i="21" s="1"/>
  <c r="O324" i="21"/>
  <c r="Z323" i="21" s="1"/>
  <c r="O316" i="21"/>
  <c r="Z315" i="21" s="1"/>
  <c r="O308" i="21"/>
  <c r="Z307" i="21" s="1"/>
  <c r="O300" i="21"/>
  <c r="Z299" i="21" s="1"/>
  <c r="O292" i="21"/>
  <c r="Z291" i="21" s="1"/>
  <c r="O284" i="21"/>
  <c r="Z283" i="21" s="1"/>
  <c r="O276" i="21"/>
  <c r="Z275" i="21" s="1"/>
  <c r="O268" i="21"/>
  <c r="Z267" i="21" s="1"/>
  <c r="O260" i="21"/>
  <c r="Z259" i="21" s="1"/>
  <c r="O252" i="21"/>
  <c r="Z251" i="21" s="1"/>
  <c r="O244" i="21"/>
  <c r="Z243" i="21" s="1"/>
  <c r="O236" i="21"/>
  <c r="Z235" i="21" s="1"/>
  <c r="O228" i="21"/>
  <c r="Z227" i="21" s="1"/>
  <c r="O220" i="21"/>
  <c r="Z219" i="21" s="1"/>
  <c r="O212" i="21"/>
  <c r="Z211" i="21" s="1"/>
  <c r="O204" i="21"/>
  <c r="Z203" i="21" s="1"/>
  <c r="O196" i="21"/>
  <c r="Z195" i="21" s="1"/>
  <c r="O188" i="21"/>
  <c r="Z187" i="21" s="1"/>
  <c r="O180" i="21"/>
  <c r="Z179" i="21" s="1"/>
  <c r="O172" i="21"/>
  <c r="Z171" i="21" s="1"/>
  <c r="O164" i="21"/>
  <c r="Z163" i="21" s="1"/>
  <c r="O156" i="21"/>
  <c r="Z155" i="21" s="1"/>
  <c r="O148" i="21"/>
  <c r="Z147" i="21" s="1"/>
  <c r="O140" i="21"/>
  <c r="Z139" i="21" s="1"/>
  <c r="O132" i="21"/>
  <c r="Z131" i="21" s="1"/>
  <c r="O124" i="21"/>
  <c r="Z123" i="21" s="1"/>
  <c r="O116" i="21"/>
  <c r="Z115" i="21" s="1"/>
  <c r="O108" i="21"/>
  <c r="Z107" i="21" s="1"/>
  <c r="O100" i="21"/>
  <c r="Z99" i="21" s="1"/>
  <c r="O92" i="21"/>
  <c r="Z91" i="21" s="1"/>
  <c r="O84" i="21"/>
  <c r="Z83" i="21" s="1"/>
  <c r="O76" i="21"/>
  <c r="Z75" i="21" s="1"/>
  <c r="O68" i="21"/>
  <c r="Z67" i="21" s="1"/>
  <c r="O60" i="21"/>
  <c r="Z59" i="21" s="1"/>
  <c r="O52" i="21"/>
  <c r="Z51" i="21" s="1"/>
  <c r="O44" i="21"/>
  <c r="Z43" i="21" s="1"/>
  <c r="O36" i="21"/>
  <c r="Z35" i="21" s="1"/>
  <c r="O28" i="21"/>
  <c r="Z27" i="21" s="1"/>
  <c r="O283" i="21"/>
  <c r="Z282" i="21" s="1"/>
  <c r="O227" i="21"/>
  <c r="Z226" i="21" s="1"/>
  <c r="O163" i="21"/>
  <c r="Z162" i="21" s="1"/>
  <c r="O131" i="21"/>
  <c r="Z130" i="21" s="1"/>
  <c r="O99" i="21"/>
  <c r="Z98" i="21" s="1"/>
  <c r="O67" i="21"/>
  <c r="Z66" i="21" s="1"/>
  <c r="GR5" i="13"/>
  <c r="I18" i="21"/>
  <c r="I25" i="21"/>
  <c r="GL11" i="13" s="1"/>
  <c r="I26" i="21"/>
  <c r="W26" i="21" s="1"/>
  <c r="I264" i="21"/>
  <c r="W264" i="21" s="1"/>
  <c r="I41" i="21"/>
  <c r="W41" i="21" s="1"/>
  <c r="I296" i="21"/>
  <c r="W296" i="21" s="1"/>
  <c r="I148" i="21"/>
  <c r="W148" i="21" s="1"/>
  <c r="I94" i="21"/>
  <c r="W94" i="21" s="1"/>
  <c r="I164" i="21"/>
  <c r="W164" i="21" s="1"/>
  <c r="I97" i="21"/>
  <c r="W97" i="21" s="1"/>
  <c r="I116" i="21"/>
  <c r="W116" i="21" s="1"/>
  <c r="I208" i="21"/>
  <c r="W208" i="21" s="1"/>
  <c r="I275" i="21"/>
  <c r="W275" i="21" s="1"/>
  <c r="I61" i="21"/>
  <c r="W61" i="21" s="1"/>
  <c r="I168" i="21"/>
  <c r="W168" i="21" s="1"/>
  <c r="I374" i="21"/>
  <c r="W374" i="21" s="1"/>
  <c r="I246" i="21"/>
  <c r="W246" i="21" s="1"/>
  <c r="I349" i="21"/>
  <c r="W349" i="21" s="1"/>
  <c r="I186" i="21"/>
  <c r="W186" i="21" s="1"/>
  <c r="I292" i="21"/>
  <c r="W292" i="21" s="1"/>
  <c r="I267" i="21"/>
  <c r="W267" i="21" s="1"/>
  <c r="I171" i="21"/>
  <c r="W171" i="21" s="1"/>
  <c r="I370" i="21"/>
  <c r="W370" i="21" s="1"/>
  <c r="I345" i="21"/>
  <c r="W345" i="21" s="1"/>
  <c r="I336" i="21"/>
  <c r="W336" i="21" s="1"/>
  <c r="I311" i="21"/>
  <c r="W311" i="21" s="1"/>
  <c r="I215" i="21"/>
  <c r="W215" i="21" s="1"/>
  <c r="I334" i="21"/>
  <c r="W334" i="21" s="1"/>
  <c r="I309" i="21"/>
  <c r="W309" i="21" s="1"/>
  <c r="I213" i="21"/>
  <c r="W213" i="21" s="1"/>
  <c r="I364" i="21"/>
  <c r="W364" i="21" s="1"/>
  <c r="I118" i="21"/>
  <c r="W118" i="21" s="1"/>
  <c r="I38" i="21"/>
  <c r="W38" i="21" s="1"/>
  <c r="I339" i="21"/>
  <c r="W339" i="21" s="1"/>
  <c r="I77" i="21"/>
  <c r="W77" i="21" s="1"/>
  <c r="I165" i="21"/>
  <c r="W165" i="21" s="1"/>
  <c r="I190" i="21"/>
  <c r="W190" i="21" s="1"/>
  <c r="I358" i="21"/>
  <c r="W358" i="21" s="1"/>
  <c r="I333" i="21"/>
  <c r="W333" i="21" s="1"/>
  <c r="I170" i="21"/>
  <c r="W170" i="21" s="1"/>
  <c r="I276" i="21"/>
  <c r="W276" i="21" s="1"/>
  <c r="I379" i="21"/>
  <c r="W379" i="21" s="1"/>
  <c r="I251" i="21"/>
  <c r="W251" i="21" s="1"/>
  <c r="I354" i="21"/>
  <c r="W354" i="21" s="1"/>
  <c r="I329" i="21"/>
  <c r="W329" i="21" s="1"/>
  <c r="I320" i="21"/>
  <c r="W320" i="21" s="1"/>
  <c r="I295" i="21"/>
  <c r="W295" i="21" s="1"/>
  <c r="I199" i="21"/>
  <c r="W199" i="21" s="1"/>
  <c r="I318" i="21"/>
  <c r="W318" i="21" s="1"/>
  <c r="I57" i="21"/>
  <c r="W57" i="21" s="1"/>
  <c r="I175" i="21"/>
  <c r="W175" i="21" s="1"/>
  <c r="I106" i="21"/>
  <c r="W106" i="21" s="1"/>
  <c r="I139" i="21"/>
  <c r="W139" i="21" s="1"/>
  <c r="I143" i="21"/>
  <c r="W143" i="21" s="1"/>
  <c r="I54" i="21"/>
  <c r="W54" i="21" s="1"/>
  <c r="I179" i="21"/>
  <c r="W179" i="21" s="1"/>
  <c r="I212" i="21"/>
  <c r="W212" i="21" s="1"/>
  <c r="I287" i="21"/>
  <c r="W287" i="21" s="1"/>
  <c r="I342" i="21"/>
  <c r="W342" i="21" s="1"/>
  <c r="I317" i="21"/>
  <c r="W317" i="21" s="1"/>
  <c r="I221" i="21"/>
  <c r="W221" i="21" s="1"/>
  <c r="I388" i="21"/>
  <c r="W388" i="21" s="1"/>
  <c r="I260" i="21"/>
  <c r="W260" i="21" s="1"/>
  <c r="I363" i="21"/>
  <c r="W363" i="21" s="1"/>
  <c r="I338" i="21"/>
  <c r="W338" i="21" s="1"/>
  <c r="I313" i="21"/>
  <c r="W313" i="21" s="1"/>
  <c r="I217" i="21"/>
  <c r="W217" i="21" s="1"/>
  <c r="I304" i="21"/>
  <c r="W304" i="21" s="1"/>
  <c r="I279" i="21"/>
  <c r="W279" i="21" s="1"/>
  <c r="I183" i="21"/>
  <c r="W183" i="21" s="1"/>
  <c r="I302" i="21"/>
  <c r="W302" i="21" s="1"/>
  <c r="I277" i="21"/>
  <c r="W277" i="21" s="1"/>
  <c r="I181" i="21"/>
  <c r="W181" i="21" s="1"/>
  <c r="I332" i="21"/>
  <c r="W332" i="21" s="1"/>
  <c r="I27" i="21"/>
  <c r="W27" i="21" s="1"/>
  <c r="I133" i="21"/>
  <c r="W133" i="21" s="1"/>
  <c r="I70" i="21"/>
  <c r="W70" i="21" s="1"/>
  <c r="I119" i="21"/>
  <c r="W119" i="21" s="1"/>
  <c r="I40" i="21"/>
  <c r="W40" i="21" s="1"/>
  <c r="I351" i="21"/>
  <c r="W351" i="21" s="1"/>
  <c r="I326" i="21"/>
  <c r="W326" i="21" s="1"/>
  <c r="I301" i="21"/>
  <c r="W301" i="21" s="1"/>
  <c r="I205" i="21"/>
  <c r="W205" i="21" s="1"/>
  <c r="I236" i="21"/>
  <c r="W236" i="21" s="1"/>
  <c r="I372" i="21"/>
  <c r="W372" i="21" s="1"/>
  <c r="I244" i="21"/>
  <c r="W244" i="21" s="1"/>
  <c r="I347" i="21"/>
  <c r="W347" i="21" s="1"/>
  <c r="I322" i="21"/>
  <c r="W322" i="21" s="1"/>
  <c r="I297" i="21"/>
  <c r="W297" i="21" s="1"/>
  <c r="I201" i="21"/>
  <c r="W201" i="21" s="1"/>
  <c r="I206" i="21"/>
  <c r="W206" i="21" s="1"/>
  <c r="I92" i="21"/>
  <c r="W92" i="21" s="1"/>
  <c r="I43" i="21"/>
  <c r="W43" i="21" s="1"/>
  <c r="I88" i="21"/>
  <c r="W88" i="21" s="1"/>
  <c r="I134" i="21"/>
  <c r="W134" i="21" s="1"/>
  <c r="I121" i="21"/>
  <c r="W121" i="21" s="1"/>
  <c r="I241" i="21"/>
  <c r="W241" i="21" s="1"/>
  <c r="I56" i="21"/>
  <c r="W56" i="21" s="1"/>
  <c r="I191" i="21"/>
  <c r="W191" i="21" s="1"/>
  <c r="I310" i="21"/>
  <c r="W310" i="21" s="1"/>
  <c r="I285" i="21"/>
  <c r="W285" i="21" s="1"/>
  <c r="I189" i="21"/>
  <c r="W189" i="21" s="1"/>
  <c r="I356" i="21"/>
  <c r="W356" i="21" s="1"/>
  <c r="I331" i="21"/>
  <c r="W331" i="21" s="1"/>
  <c r="I306" i="21"/>
  <c r="W306" i="21" s="1"/>
  <c r="I281" i="21"/>
  <c r="W281" i="21" s="1"/>
  <c r="I185" i="21"/>
  <c r="W185" i="21" s="1"/>
  <c r="I272" i="21"/>
  <c r="W272" i="21" s="1"/>
  <c r="I375" i="21"/>
  <c r="W375" i="21" s="1"/>
  <c r="I247" i="21"/>
  <c r="W247" i="21" s="1"/>
  <c r="I270" i="21"/>
  <c r="W270" i="21" s="1"/>
  <c r="I373" i="21"/>
  <c r="W373" i="21" s="1"/>
  <c r="I245" i="21"/>
  <c r="W245" i="21" s="1"/>
  <c r="I240" i="21"/>
  <c r="W240" i="21" s="1"/>
  <c r="I210" i="21"/>
  <c r="W210" i="21" s="1"/>
  <c r="I300" i="21"/>
  <c r="W300" i="21" s="1"/>
  <c r="I36" i="21"/>
  <c r="W36" i="21" s="1"/>
  <c r="I335" i="21"/>
  <c r="W335" i="21" s="1"/>
  <c r="I52" i="21"/>
  <c r="W52" i="21" s="1"/>
  <c r="I85" i="21"/>
  <c r="W85" i="21" s="1"/>
  <c r="I132" i="21"/>
  <c r="W132" i="21" s="1"/>
  <c r="I157" i="21"/>
  <c r="W157" i="21" s="1"/>
  <c r="I59" i="21"/>
  <c r="W59" i="21" s="1"/>
  <c r="I109" i="21"/>
  <c r="W109" i="21" s="1"/>
  <c r="I150" i="21"/>
  <c r="W150" i="21" s="1"/>
  <c r="I147" i="21"/>
  <c r="W147" i="21" s="1"/>
  <c r="I72" i="21"/>
  <c r="W72" i="21" s="1"/>
  <c r="I294" i="21"/>
  <c r="W294" i="21" s="1"/>
  <c r="I269" i="21"/>
  <c r="W269" i="21" s="1"/>
  <c r="I173" i="21"/>
  <c r="W173" i="21" s="1"/>
  <c r="I340" i="21"/>
  <c r="W340" i="21" s="1"/>
  <c r="I315" i="21"/>
  <c r="W315" i="21" s="1"/>
  <c r="I219" i="21"/>
  <c r="W219" i="21" s="1"/>
  <c r="I290" i="21"/>
  <c r="W290" i="21" s="1"/>
  <c r="I265" i="21"/>
  <c r="W265" i="21" s="1"/>
  <c r="I169" i="21"/>
  <c r="W169" i="21" s="1"/>
  <c r="I384" i="21"/>
  <c r="W384" i="21" s="1"/>
  <c r="I256" i="21"/>
  <c r="W256" i="21" s="1"/>
  <c r="I359" i="21"/>
  <c r="W359" i="21" s="1"/>
  <c r="I382" i="21"/>
  <c r="W382" i="21" s="1"/>
  <c r="I254" i="21"/>
  <c r="W254" i="21" s="1"/>
  <c r="I357" i="21"/>
  <c r="W357" i="21" s="1"/>
  <c r="I194" i="21"/>
  <c r="W194" i="21" s="1"/>
  <c r="I284" i="21"/>
  <c r="W284" i="21" s="1"/>
  <c r="I230" i="21"/>
  <c r="W230" i="21" s="1"/>
  <c r="I271" i="21"/>
  <c r="W271" i="21" s="1"/>
  <c r="I184" i="21"/>
  <c r="W184" i="21" s="1"/>
  <c r="I75" i="21"/>
  <c r="W75" i="21" s="1"/>
  <c r="I130" i="21"/>
  <c r="W130" i="21" s="1"/>
  <c r="I131" i="21"/>
  <c r="W131" i="21" s="1"/>
  <c r="I166" i="21"/>
  <c r="W166" i="21" s="1"/>
  <c r="I280" i="21"/>
  <c r="W280" i="21" s="1"/>
  <c r="I29" i="21"/>
  <c r="W29" i="21" s="1"/>
  <c r="I90" i="21"/>
  <c r="W90" i="21" s="1"/>
  <c r="I91" i="21"/>
  <c r="W91" i="21" s="1"/>
  <c r="I136" i="21"/>
  <c r="W136" i="21" s="1"/>
  <c r="I278" i="21"/>
  <c r="W278" i="21" s="1"/>
  <c r="I381" i="21"/>
  <c r="W381" i="21" s="1"/>
  <c r="I253" i="21"/>
  <c r="W253" i="21" s="1"/>
  <c r="I218" i="21"/>
  <c r="W218" i="21" s="1"/>
  <c r="I324" i="21"/>
  <c r="W324" i="21" s="1"/>
  <c r="I299" i="21"/>
  <c r="W299" i="21" s="1"/>
  <c r="I203" i="21"/>
  <c r="W203" i="21" s="1"/>
  <c r="I274" i="21"/>
  <c r="W274" i="21" s="1"/>
  <c r="I377" i="21"/>
  <c r="W377" i="21" s="1"/>
  <c r="I249" i="21"/>
  <c r="W249" i="21" s="1"/>
  <c r="I368" i="21"/>
  <c r="W368" i="21" s="1"/>
  <c r="I343" i="21"/>
  <c r="W343" i="21" s="1"/>
  <c r="I366" i="21"/>
  <c r="W366" i="21" s="1"/>
  <c r="I341" i="21"/>
  <c r="W341" i="21" s="1"/>
  <c r="I233" i="21"/>
  <c r="W233" i="21" s="1"/>
  <c r="I178" i="21"/>
  <c r="W178" i="21" s="1"/>
  <c r="I268" i="21"/>
  <c r="W268" i="21" s="1"/>
  <c r="I107" i="21"/>
  <c r="W107" i="21" s="1"/>
  <c r="I128" i="21"/>
  <c r="W128" i="21" s="1"/>
  <c r="I152" i="21"/>
  <c r="W152" i="21" s="1"/>
  <c r="I350" i="21"/>
  <c r="W350" i="21" s="1"/>
  <c r="I348" i="21"/>
  <c r="W348" i="21" s="1"/>
  <c r="I282" i="21"/>
  <c r="W282" i="21" s="1"/>
  <c r="I385" i="21"/>
  <c r="W385" i="21" s="1"/>
  <c r="I257" i="21"/>
  <c r="W257" i="21" s="1"/>
  <c r="I151" i="21"/>
  <c r="W151" i="21" s="1"/>
  <c r="I58" i="21"/>
  <c r="W58" i="21" s="1"/>
  <c r="I232" i="21"/>
  <c r="W232" i="21" s="1"/>
  <c r="I105" i="21"/>
  <c r="W105" i="21" s="1"/>
  <c r="I124" i="21"/>
  <c r="W124" i="21" s="1"/>
  <c r="I28" i="21"/>
  <c r="W28" i="21" s="1"/>
  <c r="I216" i="21"/>
  <c r="W216" i="21" s="1"/>
  <c r="I303" i="21"/>
  <c r="W303" i="21" s="1"/>
  <c r="I84" i="21"/>
  <c r="W84" i="21" s="1"/>
  <c r="I145" i="21"/>
  <c r="W145" i="21" s="1"/>
  <c r="I238" i="21"/>
  <c r="W238" i="21" s="1"/>
  <c r="I176" i="21"/>
  <c r="W176" i="21" s="1"/>
  <c r="I344" i="21"/>
  <c r="W344" i="21" s="1"/>
  <c r="I163" i="21"/>
  <c r="W163" i="21" s="1"/>
  <c r="I80" i="21"/>
  <c r="W80" i="21" s="1"/>
  <c r="I113" i="21"/>
  <c r="W113" i="21" s="1"/>
  <c r="I34" i="21"/>
  <c r="W34" i="21" s="1"/>
  <c r="I229" i="21"/>
  <c r="W229" i="21" s="1"/>
  <c r="I323" i="21"/>
  <c r="W323" i="21" s="1"/>
  <c r="I37" i="21"/>
  <c r="W37" i="21" s="1"/>
  <c r="I144" i="21"/>
  <c r="W144" i="21" s="1"/>
  <c r="I135" i="21"/>
  <c r="W135" i="21" s="1"/>
  <c r="I50" i="21"/>
  <c r="W50" i="21" s="1"/>
  <c r="I387" i="21"/>
  <c r="W387" i="21" s="1"/>
  <c r="I73" i="21"/>
  <c r="W73" i="21" s="1"/>
  <c r="I386" i="21"/>
  <c r="W386" i="21" s="1"/>
  <c r="I286" i="21"/>
  <c r="W286" i="21" s="1"/>
  <c r="I389" i="21"/>
  <c r="W389" i="21" s="1"/>
  <c r="I316" i="21"/>
  <c r="W316" i="21" s="1"/>
  <c r="I266" i="21"/>
  <c r="W266" i="21" s="1"/>
  <c r="I369" i="21"/>
  <c r="W369" i="21" s="1"/>
  <c r="I227" i="21"/>
  <c r="W227" i="21" s="1"/>
  <c r="I31" i="21"/>
  <c r="W31" i="21" s="1"/>
  <c r="I74" i="21"/>
  <c r="W74" i="21" s="1"/>
  <c r="I126" i="21"/>
  <c r="W126" i="21" s="1"/>
  <c r="I44" i="21"/>
  <c r="W44" i="21" s="1"/>
  <c r="I224" i="21"/>
  <c r="W224" i="21" s="1"/>
  <c r="I367" i="21"/>
  <c r="W367" i="21" s="1"/>
  <c r="I86" i="21"/>
  <c r="W86" i="21" s="1"/>
  <c r="I198" i="21"/>
  <c r="W198" i="21" s="1"/>
  <c r="I243" i="21"/>
  <c r="W243" i="21" s="1"/>
  <c r="I258" i="21"/>
  <c r="W258" i="21" s="1"/>
  <c r="I325" i="21"/>
  <c r="W325" i="21" s="1"/>
  <c r="I252" i="21"/>
  <c r="W252" i="21" s="1"/>
  <c r="I378" i="21"/>
  <c r="W378" i="21" s="1"/>
  <c r="I250" i="21"/>
  <c r="W250" i="21" s="1"/>
  <c r="I353" i="21"/>
  <c r="W353" i="21" s="1"/>
  <c r="I225" i="21"/>
  <c r="W225" i="21" s="1"/>
  <c r="I47" i="21"/>
  <c r="W47" i="21" s="1"/>
  <c r="I93" i="21"/>
  <c r="W93" i="21" s="1"/>
  <c r="I138" i="21"/>
  <c r="W138" i="21" s="1"/>
  <c r="I155" i="21"/>
  <c r="W155" i="21" s="1"/>
  <c r="I60" i="21"/>
  <c r="W60" i="21" s="1"/>
  <c r="I235" i="21"/>
  <c r="W235" i="21" s="1"/>
  <c r="I207" i="21"/>
  <c r="W207" i="21" s="1"/>
  <c r="I127" i="21"/>
  <c r="W127" i="21" s="1"/>
  <c r="I30" i="21"/>
  <c r="W30" i="21" s="1"/>
  <c r="I220" i="21"/>
  <c r="W220" i="21" s="1"/>
  <c r="I307" i="21"/>
  <c r="W307" i="21" s="1"/>
  <c r="I53" i="21"/>
  <c r="W53" i="21" s="1"/>
  <c r="I101" i="21"/>
  <c r="W101" i="21" s="1"/>
  <c r="I123" i="21"/>
  <c r="W123" i="21" s="1"/>
  <c r="I160" i="21"/>
  <c r="W160" i="21" s="1"/>
  <c r="I167" i="21"/>
  <c r="W167" i="21" s="1"/>
  <c r="I66" i="21"/>
  <c r="W66" i="21" s="1"/>
  <c r="I237" i="21"/>
  <c r="W237" i="21" s="1"/>
  <c r="I95" i="21"/>
  <c r="W95" i="21" s="1"/>
  <c r="I188" i="21"/>
  <c r="W188" i="21" s="1"/>
  <c r="I45" i="21"/>
  <c r="W45" i="21" s="1"/>
  <c r="I390" i="21"/>
  <c r="W390" i="21" s="1"/>
  <c r="I283" i="21"/>
  <c r="W283" i="21" s="1"/>
  <c r="I223" i="21"/>
  <c r="W223" i="21" s="1"/>
  <c r="I293" i="21"/>
  <c r="W293" i="21" s="1"/>
  <c r="I362" i="21"/>
  <c r="W362" i="21" s="1"/>
  <c r="I337" i="21"/>
  <c r="W337" i="21" s="1"/>
  <c r="I63" i="21"/>
  <c r="W63" i="21" s="1"/>
  <c r="I114" i="21"/>
  <c r="W114" i="21" s="1"/>
  <c r="I115" i="21"/>
  <c r="W115" i="21" s="1"/>
  <c r="I154" i="21"/>
  <c r="W154" i="21" s="1"/>
  <c r="I312" i="21"/>
  <c r="W312" i="21" s="1"/>
  <c r="I33" i="21"/>
  <c r="W33" i="21" s="1"/>
  <c r="I76" i="21"/>
  <c r="W76" i="21" s="1"/>
  <c r="I129" i="21"/>
  <c r="W129" i="21" s="1"/>
  <c r="I46" i="21"/>
  <c r="W46" i="21" s="1"/>
  <c r="I371" i="21"/>
  <c r="W371" i="21" s="1"/>
  <c r="I69" i="21"/>
  <c r="W69" i="21" s="1"/>
  <c r="I122" i="21"/>
  <c r="W122" i="21" s="1"/>
  <c r="I180" i="21"/>
  <c r="W180" i="21" s="1"/>
  <c r="I360" i="21"/>
  <c r="W360" i="21" s="1"/>
  <c r="I112" i="21"/>
  <c r="W112" i="21" s="1"/>
  <c r="I262" i="21"/>
  <c r="W262" i="21" s="1"/>
  <c r="I261" i="21"/>
  <c r="W261" i="21" s="1"/>
  <c r="I197" i="21"/>
  <c r="W197" i="21" s="1"/>
  <c r="I346" i="21"/>
  <c r="W346" i="21" s="1"/>
  <c r="I321" i="21"/>
  <c r="W321" i="21" s="1"/>
  <c r="I234" i="21"/>
  <c r="W234" i="21" s="1"/>
  <c r="I79" i="21"/>
  <c r="W79" i="21" s="1"/>
  <c r="I137" i="21"/>
  <c r="W137" i="21" s="1"/>
  <c r="I172" i="21"/>
  <c r="W172" i="21" s="1"/>
  <c r="I49" i="21"/>
  <c r="W49" i="21" s="1"/>
  <c r="I96" i="21"/>
  <c r="W96" i="21" s="1"/>
  <c r="I140" i="21"/>
  <c r="W140" i="21" s="1"/>
  <c r="I159" i="21"/>
  <c r="W159" i="21" s="1"/>
  <c r="I62" i="21"/>
  <c r="W62" i="21" s="1"/>
  <c r="I211" i="21"/>
  <c r="W211" i="21" s="1"/>
  <c r="I87" i="21"/>
  <c r="W87" i="21" s="1"/>
  <c r="I149" i="21"/>
  <c r="W149" i="21" s="1"/>
  <c r="I200" i="21"/>
  <c r="W200" i="21" s="1"/>
  <c r="I255" i="21"/>
  <c r="W255" i="21" s="1"/>
  <c r="I55" i="21"/>
  <c r="W55" i="21" s="1"/>
  <c r="I104" i="21"/>
  <c r="W104" i="21" s="1"/>
  <c r="I146" i="21"/>
  <c r="W146" i="21" s="1"/>
  <c r="I182" i="21"/>
  <c r="W182" i="21" s="1"/>
  <c r="I376" i="21"/>
  <c r="W376" i="21" s="1"/>
  <c r="I161" i="21"/>
  <c r="W161" i="21" s="1"/>
  <c r="I298" i="21"/>
  <c r="W298" i="21" s="1"/>
  <c r="I242" i="21"/>
  <c r="W242" i="21" s="1"/>
  <c r="I361" i="21"/>
  <c r="W361" i="21" s="1"/>
  <c r="I330" i="21"/>
  <c r="W330" i="21" s="1"/>
  <c r="I305" i="21"/>
  <c r="W305" i="21" s="1"/>
  <c r="I228" i="21"/>
  <c r="W228" i="21" s="1"/>
  <c r="I209" i="21"/>
  <c r="W209" i="21" s="1"/>
  <c r="I81" i="21"/>
  <c r="W81" i="21" s="1"/>
  <c r="I100" i="21"/>
  <c r="W100" i="21" s="1"/>
  <c r="I192" i="21"/>
  <c r="W192" i="21" s="1"/>
  <c r="I291" i="21"/>
  <c r="W291" i="21" s="1"/>
  <c r="I65" i="21"/>
  <c r="W65" i="21" s="1"/>
  <c r="I117" i="21"/>
  <c r="W117" i="21" s="1"/>
  <c r="I156" i="21"/>
  <c r="W156" i="21" s="1"/>
  <c r="I35" i="21"/>
  <c r="W35" i="21" s="1"/>
  <c r="I222" i="21"/>
  <c r="W222" i="21" s="1"/>
  <c r="I78" i="21"/>
  <c r="W78" i="21" s="1"/>
  <c r="I89" i="21"/>
  <c r="W89" i="21" s="1"/>
  <c r="I108" i="21"/>
  <c r="W108" i="21" s="1"/>
  <c r="I32" i="21"/>
  <c r="W32" i="21" s="1"/>
  <c r="I226" i="21"/>
  <c r="W226" i="21" s="1"/>
  <c r="I319" i="21"/>
  <c r="W319" i="21" s="1"/>
  <c r="I71" i="21"/>
  <c r="W71" i="21" s="1"/>
  <c r="I125" i="21"/>
  <c r="W125" i="21" s="1"/>
  <c r="I162" i="21"/>
  <c r="W162" i="21" s="1"/>
  <c r="I239" i="21"/>
  <c r="W239" i="21" s="1"/>
  <c r="I248" i="21"/>
  <c r="W248" i="21" s="1"/>
  <c r="I308" i="21"/>
  <c r="W308" i="21" s="1"/>
  <c r="I288" i="21"/>
  <c r="W288" i="21" s="1"/>
  <c r="I202" i="21"/>
  <c r="W202" i="21" s="1"/>
  <c r="I187" i="21"/>
  <c r="W187" i="21" s="1"/>
  <c r="I352" i="21"/>
  <c r="W352" i="21" s="1"/>
  <c r="I327" i="21"/>
  <c r="W327" i="21" s="1"/>
  <c r="I314" i="21"/>
  <c r="W314" i="21" s="1"/>
  <c r="I289" i="21"/>
  <c r="W289" i="21" s="1"/>
  <c r="I193" i="21"/>
  <c r="W193" i="21" s="1"/>
  <c r="I102" i="21"/>
  <c r="W102" i="21" s="1"/>
  <c r="I214" i="21"/>
  <c r="W214" i="21" s="1"/>
  <c r="I355" i="21"/>
  <c r="W355" i="21" s="1"/>
  <c r="I141" i="21"/>
  <c r="W141" i="21" s="1"/>
  <c r="I174" i="21"/>
  <c r="W174" i="21" s="1"/>
  <c r="I328" i="21"/>
  <c r="W328" i="21" s="1"/>
  <c r="I51" i="21"/>
  <c r="W51" i="21" s="1"/>
  <c r="I98" i="21"/>
  <c r="W98" i="21" s="1"/>
  <c r="I99" i="21"/>
  <c r="W99" i="21" s="1"/>
  <c r="I142" i="21"/>
  <c r="W142" i="21" s="1"/>
  <c r="I231" i="21"/>
  <c r="W231" i="21" s="1"/>
  <c r="I110" i="21"/>
  <c r="W110" i="21" s="1"/>
  <c r="I48" i="21"/>
  <c r="W48" i="21" s="1"/>
  <c r="I383" i="21"/>
  <c r="W383" i="21" s="1"/>
  <c r="I153" i="21"/>
  <c r="W153" i="21" s="1"/>
  <c r="I68" i="21"/>
  <c r="W68" i="21" s="1"/>
  <c r="I365" i="21"/>
  <c r="W365" i="21" s="1"/>
  <c r="I263" i="21"/>
  <c r="W263" i="21" s="1"/>
  <c r="I380" i="21"/>
  <c r="W380" i="21" s="1"/>
  <c r="I273" i="21"/>
  <c r="W273" i="21" s="1"/>
  <c r="I177" i="21"/>
  <c r="W177" i="21" s="1"/>
  <c r="I259" i="21"/>
  <c r="W259" i="21" s="1"/>
  <c r="I67" i="21"/>
  <c r="W67" i="21" s="1"/>
  <c r="I204" i="21"/>
  <c r="W204" i="21" s="1"/>
  <c r="I158" i="21"/>
  <c r="W158" i="21" s="1"/>
  <c r="I195" i="21"/>
  <c r="W195" i="21" s="1"/>
  <c r="I196" i="21"/>
  <c r="W196" i="21" s="1"/>
  <c r="I39" i="21"/>
  <c r="W39" i="21" s="1"/>
  <c r="I111" i="21"/>
  <c r="W111" i="21" s="1"/>
  <c r="I120" i="21"/>
  <c r="W120" i="21" s="1"/>
  <c r="I42" i="21"/>
  <c r="W42" i="21" s="1"/>
  <c r="I82" i="21"/>
  <c r="W82" i="21" s="1"/>
  <c r="I103" i="21"/>
  <c r="W103" i="21" s="1"/>
  <c r="I64" i="21"/>
  <c r="W64" i="21" s="1"/>
  <c r="I83" i="21"/>
  <c r="W83" i="21" s="1"/>
  <c r="GR2" i="13"/>
  <c r="K18" i="21"/>
  <c r="K25" i="21"/>
  <c r="K278" i="21"/>
  <c r="X278" i="21" s="1"/>
  <c r="K74" i="21"/>
  <c r="X74" i="21" s="1"/>
  <c r="K113" i="21"/>
  <c r="X113" i="21" s="1"/>
  <c r="K115" i="21"/>
  <c r="X115" i="21" s="1"/>
  <c r="K45" i="21"/>
  <c r="X45" i="21" s="1"/>
  <c r="K46" i="21"/>
  <c r="X46" i="21" s="1"/>
  <c r="K133" i="21"/>
  <c r="X133" i="21" s="1"/>
  <c r="K101" i="21"/>
  <c r="X101" i="21" s="1"/>
  <c r="K354" i="21"/>
  <c r="X354" i="21" s="1"/>
  <c r="K307" i="21"/>
  <c r="X307" i="21" s="1"/>
  <c r="K137" i="21"/>
  <c r="X137" i="21" s="1"/>
  <c r="K280" i="21"/>
  <c r="X280" i="21" s="1"/>
  <c r="K146" i="21"/>
  <c r="X146" i="21" s="1"/>
  <c r="K353" i="21"/>
  <c r="X353" i="21" s="1"/>
  <c r="K225" i="21"/>
  <c r="X225" i="21" s="1"/>
  <c r="K183" i="21"/>
  <c r="X183" i="21" s="1"/>
  <c r="K176" i="21"/>
  <c r="X176" i="21" s="1"/>
  <c r="K303" i="21"/>
  <c r="X303" i="21" s="1"/>
  <c r="K388" i="21"/>
  <c r="X388" i="21" s="1"/>
  <c r="K248" i="21"/>
  <c r="X248" i="21" s="1"/>
  <c r="K142" i="21"/>
  <c r="X142" i="21" s="1"/>
  <c r="K269" i="21"/>
  <c r="X269" i="21" s="1"/>
  <c r="K250" i="21"/>
  <c r="X250" i="21" s="1"/>
  <c r="K267" i="21"/>
  <c r="X267" i="21" s="1"/>
  <c r="K234" i="21"/>
  <c r="X234" i="21" s="1"/>
  <c r="K274" i="21"/>
  <c r="X274" i="21" s="1"/>
  <c r="K106" i="21"/>
  <c r="X106" i="21" s="1"/>
  <c r="K75" i="21"/>
  <c r="X75" i="21" s="1"/>
  <c r="K118" i="21"/>
  <c r="X118" i="21" s="1"/>
  <c r="K188" i="21"/>
  <c r="X188" i="21" s="1"/>
  <c r="K258" i="21"/>
  <c r="X258" i="21" s="1"/>
  <c r="K121" i="21"/>
  <c r="X121" i="21" s="1"/>
  <c r="K61" i="21"/>
  <c r="X61" i="21" s="1"/>
  <c r="K252" i="21"/>
  <c r="X252" i="21" s="1"/>
  <c r="K296" i="21"/>
  <c r="X296" i="21" s="1"/>
  <c r="K291" i="21"/>
  <c r="X291" i="21" s="1"/>
  <c r="K292" i="21"/>
  <c r="X292" i="21" s="1"/>
  <c r="K130" i="21"/>
  <c r="X130" i="21" s="1"/>
  <c r="K337" i="21"/>
  <c r="X337" i="21" s="1"/>
  <c r="K167" i="21"/>
  <c r="X167" i="21" s="1"/>
  <c r="K286" i="21"/>
  <c r="X286" i="21" s="1"/>
  <c r="K160" i="21"/>
  <c r="X160" i="21" s="1"/>
  <c r="K287" i="21"/>
  <c r="X287" i="21" s="1"/>
  <c r="K260" i="21"/>
  <c r="X260" i="21" s="1"/>
  <c r="K126" i="21"/>
  <c r="X126" i="21" s="1"/>
  <c r="K381" i="21"/>
  <c r="X381" i="21" s="1"/>
  <c r="K253" i="21"/>
  <c r="X253" i="21" s="1"/>
  <c r="K211" i="21"/>
  <c r="X211" i="21" s="1"/>
  <c r="K27" i="21"/>
  <c r="X27" i="21" s="1"/>
  <c r="K127" i="21"/>
  <c r="X127" i="21" s="1"/>
  <c r="K357" i="21"/>
  <c r="X357" i="21" s="1"/>
  <c r="K187" i="21"/>
  <c r="X187" i="21" s="1"/>
  <c r="K59" i="21"/>
  <c r="X59" i="21" s="1"/>
  <c r="K77" i="21"/>
  <c r="X77" i="21" s="1"/>
  <c r="K88" i="21"/>
  <c r="X88" i="21" s="1"/>
  <c r="K233" i="21"/>
  <c r="X233" i="21" s="1"/>
  <c r="K31" i="21"/>
  <c r="X31" i="21" s="1"/>
  <c r="K304" i="21"/>
  <c r="X304" i="21" s="1"/>
  <c r="K275" i="21"/>
  <c r="X275" i="21" s="1"/>
  <c r="K298" i="21"/>
  <c r="X298" i="21" s="1"/>
  <c r="K338" i="21"/>
  <c r="X338" i="21" s="1"/>
  <c r="K114" i="21"/>
  <c r="X114" i="21" s="1"/>
  <c r="K321" i="21"/>
  <c r="X321" i="21" s="1"/>
  <c r="K151" i="21"/>
  <c r="X151" i="21" s="1"/>
  <c r="K264" i="21"/>
  <c r="X264" i="21" s="1"/>
  <c r="K144" i="21"/>
  <c r="X144" i="21" s="1"/>
  <c r="K271" i="21"/>
  <c r="X271" i="21" s="1"/>
  <c r="K266" i="21"/>
  <c r="X266" i="21" s="1"/>
  <c r="K306" i="21"/>
  <c r="X306" i="21" s="1"/>
  <c r="K110" i="21"/>
  <c r="X110" i="21" s="1"/>
  <c r="K365" i="21"/>
  <c r="X365" i="21" s="1"/>
  <c r="K237" i="21"/>
  <c r="X237" i="21" s="1"/>
  <c r="K195" i="21"/>
  <c r="X195" i="21" s="1"/>
  <c r="K363" i="21"/>
  <c r="X363" i="21" s="1"/>
  <c r="K235" i="21"/>
  <c r="X235" i="21" s="1"/>
  <c r="K193" i="21"/>
  <c r="X193" i="21" s="1"/>
  <c r="K202" i="21"/>
  <c r="X202" i="21" s="1"/>
  <c r="K348" i="21"/>
  <c r="X348" i="21" s="1"/>
  <c r="K293" i="21"/>
  <c r="X293" i="21" s="1"/>
  <c r="K373" i="21"/>
  <c r="X373" i="21" s="1"/>
  <c r="K43" i="21"/>
  <c r="X43" i="21" s="1"/>
  <c r="K107" i="21"/>
  <c r="X107" i="21" s="1"/>
  <c r="K294" i="21"/>
  <c r="X294" i="21" s="1"/>
  <c r="K120" i="21"/>
  <c r="X120" i="21" s="1"/>
  <c r="K340" i="21"/>
  <c r="X340" i="21" s="1"/>
  <c r="K297" i="21"/>
  <c r="X297" i="21" s="1"/>
  <c r="K47" i="21"/>
  <c r="X47" i="21" s="1"/>
  <c r="K268" i="21"/>
  <c r="X268" i="21" s="1"/>
  <c r="K328" i="21"/>
  <c r="X328" i="21" s="1"/>
  <c r="K387" i="21"/>
  <c r="X387" i="21" s="1"/>
  <c r="K259" i="21"/>
  <c r="X259" i="21" s="1"/>
  <c r="K217" i="21"/>
  <c r="X217" i="21" s="1"/>
  <c r="K98" i="21"/>
  <c r="X98" i="21" s="1"/>
  <c r="K305" i="21"/>
  <c r="X305" i="21" s="1"/>
  <c r="K135" i="21"/>
  <c r="X135" i="21" s="1"/>
  <c r="K128" i="21"/>
  <c r="X128" i="21" s="1"/>
  <c r="K383" i="21"/>
  <c r="X383" i="21" s="1"/>
  <c r="K255" i="21"/>
  <c r="X255" i="21" s="1"/>
  <c r="K213" i="21"/>
  <c r="X213" i="21" s="1"/>
  <c r="K72" i="21"/>
  <c r="X72" i="21" s="1"/>
  <c r="K229" i="21"/>
  <c r="X229" i="21" s="1"/>
  <c r="K64" i="21"/>
  <c r="X64" i="21" s="1"/>
  <c r="K28" i="21"/>
  <c r="X28" i="21" s="1"/>
  <c r="K91" i="21"/>
  <c r="X91" i="21" s="1"/>
  <c r="K152" i="21"/>
  <c r="X152" i="21" s="1"/>
  <c r="K191" i="21"/>
  <c r="X191" i="21" s="1"/>
  <c r="K361" i="21"/>
  <c r="X361" i="21" s="1"/>
  <c r="K129" i="21"/>
  <c r="X129" i="21" s="1"/>
  <c r="K63" i="21"/>
  <c r="X63" i="21" s="1"/>
  <c r="K222" i="21"/>
  <c r="X222" i="21" s="1"/>
  <c r="K92" i="21"/>
  <c r="X92" i="21" s="1"/>
  <c r="K245" i="21"/>
  <c r="X245" i="21" s="1"/>
  <c r="K371" i="21"/>
  <c r="X371" i="21" s="1"/>
  <c r="K243" i="21"/>
  <c r="X243" i="21" s="1"/>
  <c r="K201" i="21"/>
  <c r="X201" i="21" s="1"/>
  <c r="K210" i="21"/>
  <c r="X210" i="21" s="1"/>
  <c r="K82" i="21"/>
  <c r="X82" i="21" s="1"/>
  <c r="K289" i="21"/>
  <c r="X289" i="21" s="1"/>
  <c r="K276" i="21"/>
  <c r="X276" i="21" s="1"/>
  <c r="K322" i="21"/>
  <c r="X322" i="21" s="1"/>
  <c r="K112" i="21"/>
  <c r="X112" i="21" s="1"/>
  <c r="K367" i="21"/>
  <c r="X367" i="21" s="1"/>
  <c r="K239" i="21"/>
  <c r="X239" i="21" s="1"/>
  <c r="K197" i="21"/>
  <c r="X197" i="21" s="1"/>
  <c r="K206" i="21"/>
  <c r="X206" i="21" s="1"/>
  <c r="K380" i="21"/>
  <c r="X380" i="21" s="1"/>
  <c r="K333" i="21"/>
  <c r="X333" i="21" s="1"/>
  <c r="K163" i="21"/>
  <c r="X163" i="21" s="1"/>
  <c r="K254" i="21"/>
  <c r="X254" i="21" s="1"/>
  <c r="K331" i="21"/>
  <c r="X331" i="21" s="1"/>
  <c r="K161" i="21"/>
  <c r="X161" i="21" s="1"/>
  <c r="K170" i="21"/>
  <c r="X170" i="21" s="1"/>
  <c r="K83" i="21"/>
  <c r="X83" i="21" s="1"/>
  <c r="K30" i="21"/>
  <c r="X30" i="21" s="1"/>
  <c r="K196" i="21"/>
  <c r="X196" i="21" s="1"/>
  <c r="K79" i="21"/>
  <c r="X79" i="21" s="1"/>
  <c r="K310" i="21"/>
  <c r="X310" i="21" s="1"/>
  <c r="K124" i="21"/>
  <c r="X124" i="21" s="1"/>
  <c r="K139" i="21"/>
  <c r="X139" i="21" s="1"/>
  <c r="K309" i="21"/>
  <c r="X309" i="21" s="1"/>
  <c r="K355" i="21"/>
  <c r="X355" i="21" s="1"/>
  <c r="K227" i="21"/>
  <c r="X227" i="21" s="1"/>
  <c r="K185" i="21"/>
  <c r="X185" i="21" s="1"/>
  <c r="K194" i="21"/>
  <c r="X194" i="21" s="1"/>
  <c r="K284" i="21"/>
  <c r="X284" i="21" s="1"/>
  <c r="K273" i="21"/>
  <c r="X273" i="21" s="1"/>
  <c r="K282" i="21"/>
  <c r="X282" i="21" s="1"/>
  <c r="K226" i="21"/>
  <c r="X226" i="21" s="1"/>
  <c r="K96" i="21"/>
  <c r="X96" i="21" s="1"/>
  <c r="K351" i="21"/>
  <c r="X351" i="21" s="1"/>
  <c r="K223" i="21"/>
  <c r="X223" i="21" s="1"/>
  <c r="K181" i="21"/>
  <c r="X181" i="21" s="1"/>
  <c r="K190" i="21"/>
  <c r="X190" i="21" s="1"/>
  <c r="K317" i="21"/>
  <c r="X317" i="21" s="1"/>
  <c r="K147" i="21"/>
  <c r="X147" i="21" s="1"/>
  <c r="K360" i="21"/>
  <c r="X360" i="21" s="1"/>
  <c r="K315" i="21"/>
  <c r="X315" i="21" s="1"/>
  <c r="K145" i="21"/>
  <c r="X145" i="21" s="1"/>
  <c r="K344" i="21"/>
  <c r="X344" i="21" s="1"/>
  <c r="K154" i="21"/>
  <c r="X154" i="21" s="1"/>
  <c r="K68" i="21"/>
  <c r="X68" i="21" s="1"/>
  <c r="K86" i="21"/>
  <c r="X86" i="21" s="1"/>
  <c r="K150" i="21"/>
  <c r="X150" i="21" s="1"/>
  <c r="K85" i="21"/>
  <c r="X85" i="21" s="1"/>
  <c r="K93" i="21"/>
  <c r="X93" i="21" s="1"/>
  <c r="K290" i="21"/>
  <c r="X290" i="21" s="1"/>
  <c r="K156" i="21"/>
  <c r="X156" i="21" s="1"/>
  <c r="K203" i="21"/>
  <c r="X203" i="21" s="1"/>
  <c r="K339" i="21"/>
  <c r="X339" i="21" s="1"/>
  <c r="K169" i="21"/>
  <c r="X169" i="21" s="1"/>
  <c r="K302" i="21"/>
  <c r="X302" i="21" s="1"/>
  <c r="K178" i="21"/>
  <c r="X178" i="21" s="1"/>
  <c r="K385" i="21"/>
  <c r="X385" i="21" s="1"/>
  <c r="K257" i="21"/>
  <c r="X257" i="21" s="1"/>
  <c r="K215" i="21"/>
  <c r="X215" i="21" s="1"/>
  <c r="K208" i="21"/>
  <c r="X208" i="21" s="1"/>
  <c r="K80" i="21"/>
  <c r="X80" i="21" s="1"/>
  <c r="K335" i="21"/>
  <c r="X335" i="21" s="1"/>
  <c r="K165" i="21"/>
  <c r="X165" i="21" s="1"/>
  <c r="K270" i="21"/>
  <c r="X270" i="21" s="1"/>
  <c r="K174" i="21"/>
  <c r="X174" i="21" s="1"/>
  <c r="K301" i="21"/>
  <c r="X301" i="21" s="1"/>
  <c r="K372" i="21"/>
  <c r="X372" i="21" s="1"/>
  <c r="K236" i="21"/>
  <c r="X236" i="21" s="1"/>
  <c r="K299" i="21"/>
  <c r="X299" i="21" s="1"/>
  <c r="K356" i="21"/>
  <c r="X356" i="21" s="1"/>
  <c r="K138" i="21"/>
  <c r="X138" i="21" s="1"/>
  <c r="K123" i="21"/>
  <c r="X123" i="21" s="1"/>
  <c r="K192" i="21"/>
  <c r="X192" i="21" s="1"/>
  <c r="K149" i="21"/>
  <c r="X149" i="21" s="1"/>
  <c r="K251" i="21"/>
  <c r="X251" i="21" s="1"/>
  <c r="K362" i="21"/>
  <c r="X362" i="21" s="1"/>
  <c r="K343" i="21"/>
  <c r="X343" i="21" s="1"/>
  <c r="K173" i="21"/>
  <c r="X173" i="21" s="1"/>
  <c r="K334" i="21"/>
  <c r="X334" i="21" s="1"/>
  <c r="K182" i="21"/>
  <c r="X182" i="21" s="1"/>
  <c r="K87" i="21"/>
  <c r="X87" i="21" s="1"/>
  <c r="K100" i="21"/>
  <c r="X100" i="21" s="1"/>
  <c r="K143" i="21"/>
  <c r="X143" i="21" s="1"/>
  <c r="K313" i="21"/>
  <c r="X313" i="21" s="1"/>
  <c r="K81" i="21"/>
  <c r="X81" i="21" s="1"/>
  <c r="K51" i="21"/>
  <c r="X51" i="21" s="1"/>
  <c r="K125" i="21"/>
  <c r="X125" i="21" s="1"/>
  <c r="K36" i="21"/>
  <c r="X36" i="21" s="1"/>
  <c r="K111" i="21"/>
  <c r="X111" i="21" s="1"/>
  <c r="K374" i="21"/>
  <c r="X374" i="21" s="1"/>
  <c r="K140" i="21"/>
  <c r="X140" i="21" s="1"/>
  <c r="K171" i="21"/>
  <c r="X171" i="21" s="1"/>
  <c r="K341" i="21"/>
  <c r="X341" i="21" s="1"/>
  <c r="K58" i="21"/>
  <c r="X58" i="21" s="1"/>
  <c r="K105" i="21"/>
  <c r="X105" i="21" s="1"/>
  <c r="K57" i="21"/>
  <c r="X57" i="21" s="1"/>
  <c r="K180" i="21"/>
  <c r="X180" i="21" s="1"/>
  <c r="K314" i="21"/>
  <c r="X314" i="21" s="1"/>
  <c r="K84" i="21"/>
  <c r="X84" i="21" s="1"/>
  <c r="K350" i="21"/>
  <c r="X350" i="21" s="1"/>
  <c r="K29" i="21"/>
  <c r="X29" i="21" s="1"/>
  <c r="K200" i="21"/>
  <c r="X200" i="21" s="1"/>
  <c r="K369" i="21"/>
  <c r="X369" i="21" s="1"/>
  <c r="K376" i="21"/>
  <c r="X376" i="21" s="1"/>
  <c r="K209" i="21"/>
  <c r="X209" i="21" s="1"/>
  <c r="K327" i="21"/>
  <c r="X327" i="21" s="1"/>
  <c r="K157" i="21"/>
  <c r="X157" i="21" s="1"/>
  <c r="K166" i="21"/>
  <c r="X166" i="21" s="1"/>
  <c r="K352" i="21"/>
  <c r="X352" i="21" s="1"/>
  <c r="K326" i="21"/>
  <c r="X326" i="21" s="1"/>
  <c r="K132" i="21"/>
  <c r="X132" i="21" s="1"/>
  <c r="K207" i="21"/>
  <c r="X207" i="21" s="1"/>
  <c r="K377" i="21"/>
  <c r="X377" i="21" s="1"/>
  <c r="K384" i="21"/>
  <c r="X384" i="21" s="1"/>
  <c r="K67" i="21"/>
  <c r="X67" i="21" s="1"/>
  <c r="K316" i="21"/>
  <c r="X316" i="21" s="1"/>
  <c r="K26" i="21"/>
  <c r="X26" i="21" s="1"/>
  <c r="K37" i="21"/>
  <c r="X37" i="21" s="1"/>
  <c r="K50" i="21"/>
  <c r="X50" i="21" s="1"/>
  <c r="K40" i="21"/>
  <c r="X40" i="21" s="1"/>
  <c r="K228" i="21"/>
  <c r="X228" i="21" s="1"/>
  <c r="K73" i="21"/>
  <c r="X73" i="21" s="1"/>
  <c r="K153" i="21"/>
  <c r="X153" i="21" s="1"/>
  <c r="K241" i="21"/>
  <c r="X241" i="21" s="1"/>
  <c r="K378" i="21"/>
  <c r="X378" i="21" s="1"/>
  <c r="K177" i="21"/>
  <c r="X177" i="21" s="1"/>
  <c r="K218" i="21"/>
  <c r="X218" i="21" s="1"/>
  <c r="K311" i="21"/>
  <c r="X311" i="21" s="1"/>
  <c r="K141" i="21"/>
  <c r="X141" i="21" s="1"/>
  <c r="K312" i="21"/>
  <c r="X312" i="21" s="1"/>
  <c r="K60" i="21"/>
  <c r="X60" i="21" s="1"/>
  <c r="K164" i="21"/>
  <c r="X164" i="21" s="1"/>
  <c r="K38" i="21"/>
  <c r="X38" i="21" s="1"/>
  <c r="K95" i="21"/>
  <c r="X95" i="21" s="1"/>
  <c r="K102" i="21"/>
  <c r="X102" i="21" s="1"/>
  <c r="K261" i="21"/>
  <c r="X261" i="21" s="1"/>
  <c r="K89" i="21"/>
  <c r="X89" i="21" s="1"/>
  <c r="K53" i="21"/>
  <c r="X53" i="21" s="1"/>
  <c r="K220" i="21"/>
  <c r="X220" i="21" s="1"/>
  <c r="K368" i="21"/>
  <c r="X368" i="21" s="1"/>
  <c r="K119" i="21"/>
  <c r="X119" i="21" s="1"/>
  <c r="K262" i="21"/>
  <c r="X262" i="21" s="1"/>
  <c r="K116" i="21"/>
  <c r="X116" i="21" s="1"/>
  <c r="K281" i="21"/>
  <c r="X281" i="21" s="1"/>
  <c r="K349" i="21"/>
  <c r="X349" i="21" s="1"/>
  <c r="K179" i="21"/>
  <c r="X179" i="21" s="1"/>
  <c r="K240" i="21"/>
  <c r="X240" i="21" s="1"/>
  <c r="K186" i="21"/>
  <c r="X186" i="21" s="1"/>
  <c r="K295" i="21"/>
  <c r="X295" i="21" s="1"/>
  <c r="K324" i="21"/>
  <c r="X324" i="21" s="1"/>
  <c r="K62" i="21"/>
  <c r="X62" i="21" s="1"/>
  <c r="K204" i="21"/>
  <c r="X204" i="21" s="1"/>
  <c r="K342" i="21"/>
  <c r="X342" i="21" s="1"/>
  <c r="K134" i="21"/>
  <c r="X134" i="21" s="1"/>
  <c r="K155" i="21"/>
  <c r="X155" i="21" s="1"/>
  <c r="K325" i="21"/>
  <c r="X325" i="21" s="1"/>
  <c r="K69" i="21"/>
  <c r="X69" i="21" s="1"/>
  <c r="K332" i="21"/>
  <c r="X332" i="21" s="1"/>
  <c r="K230" i="21"/>
  <c r="X230" i="21" s="1"/>
  <c r="K320" i="21"/>
  <c r="X320" i="21" s="1"/>
  <c r="K52" i="21"/>
  <c r="X52" i="21" s="1"/>
  <c r="K319" i="21"/>
  <c r="X319" i="21" s="1"/>
  <c r="K158" i="21"/>
  <c r="X158" i="21" s="1"/>
  <c r="K285" i="21"/>
  <c r="X285" i="21" s="1"/>
  <c r="K244" i="21"/>
  <c r="X244" i="21" s="1"/>
  <c r="K122" i="21"/>
  <c r="X122" i="21" s="1"/>
  <c r="K279" i="21"/>
  <c r="X279" i="21" s="1"/>
  <c r="K330" i="21"/>
  <c r="X330" i="21" s="1"/>
  <c r="K370" i="21"/>
  <c r="X370" i="21" s="1"/>
  <c r="K109" i="21"/>
  <c r="X109" i="21" s="1"/>
  <c r="K386" i="21"/>
  <c r="X386" i="21" s="1"/>
  <c r="K76" i="21"/>
  <c r="X76" i="21" s="1"/>
  <c r="K336" i="21"/>
  <c r="X336" i="21" s="1"/>
  <c r="K168" i="21"/>
  <c r="X168" i="21" s="1"/>
  <c r="K219" i="21"/>
  <c r="X219" i="21" s="1"/>
  <c r="K389" i="21"/>
  <c r="X389" i="21" s="1"/>
  <c r="K103" i="21"/>
  <c r="X103" i="21" s="1"/>
  <c r="K238" i="21"/>
  <c r="X238" i="21" s="1"/>
  <c r="K104" i="21"/>
  <c r="X104" i="21" s="1"/>
  <c r="K265" i="21"/>
  <c r="X265" i="21" s="1"/>
  <c r="K32" i="21"/>
  <c r="X32" i="21" s="1"/>
  <c r="K66" i="21"/>
  <c r="X66" i="21" s="1"/>
  <c r="K56" i="21"/>
  <c r="X56" i="21" s="1"/>
  <c r="K184" i="21"/>
  <c r="X184" i="21" s="1"/>
  <c r="K346" i="21"/>
  <c r="X346" i="21" s="1"/>
  <c r="K231" i="21"/>
  <c r="X231" i="21" s="1"/>
  <c r="K189" i="21"/>
  <c r="X189" i="21" s="1"/>
  <c r="K256" i="21"/>
  <c r="X256" i="21" s="1"/>
  <c r="K65" i="21"/>
  <c r="X65" i="21" s="1"/>
  <c r="K308" i="21"/>
  <c r="X308" i="21" s="1"/>
  <c r="K162" i="21"/>
  <c r="X162" i="21" s="1"/>
  <c r="K199" i="21"/>
  <c r="X199" i="21" s="1"/>
  <c r="K94" i="21"/>
  <c r="X94" i="21" s="1"/>
  <c r="K221" i="21"/>
  <c r="X221" i="21" s="1"/>
  <c r="K382" i="21"/>
  <c r="X382" i="21" s="1"/>
  <c r="K379" i="21"/>
  <c r="X379" i="21" s="1"/>
  <c r="K366" i="21"/>
  <c r="X366" i="21" s="1"/>
  <c r="K90" i="21"/>
  <c r="X90" i="21" s="1"/>
  <c r="K263" i="21"/>
  <c r="X263" i="21" s="1"/>
  <c r="K242" i="21"/>
  <c r="X242" i="21" s="1"/>
  <c r="K33" i="21"/>
  <c r="K78" i="21"/>
  <c r="X78" i="21" s="1"/>
  <c r="K212" i="21"/>
  <c r="X212" i="21" s="1"/>
  <c r="K131" i="21"/>
  <c r="X131" i="21" s="1"/>
  <c r="K358" i="21"/>
  <c r="X358" i="21" s="1"/>
  <c r="K136" i="21"/>
  <c r="X136" i="21" s="1"/>
  <c r="K159" i="21"/>
  <c r="X159" i="21" s="1"/>
  <c r="K329" i="21"/>
  <c r="X329" i="21" s="1"/>
  <c r="K42" i="21"/>
  <c r="X42" i="21" s="1"/>
  <c r="K39" i="21"/>
  <c r="X39" i="21" s="1"/>
  <c r="K54" i="21"/>
  <c r="X54" i="21" s="1"/>
  <c r="K359" i="21"/>
  <c r="X359" i="21" s="1"/>
  <c r="K70" i="21"/>
  <c r="X70" i="21" s="1"/>
  <c r="K44" i="21"/>
  <c r="X44" i="21" s="1"/>
  <c r="K323" i="21"/>
  <c r="X323" i="21" s="1"/>
  <c r="K347" i="21"/>
  <c r="X347" i="21" s="1"/>
  <c r="K232" i="21"/>
  <c r="X232" i="21" s="1"/>
  <c r="K375" i="21"/>
  <c r="X375" i="21" s="1"/>
  <c r="K247" i="21"/>
  <c r="X247" i="21" s="1"/>
  <c r="K205" i="21"/>
  <c r="X205" i="21" s="1"/>
  <c r="K214" i="21"/>
  <c r="X214" i="21" s="1"/>
  <c r="K49" i="21"/>
  <c r="X49" i="21" s="1"/>
  <c r="K117" i="21"/>
  <c r="X117" i="21" s="1"/>
  <c r="K34" i="21"/>
  <c r="X34" i="21" s="1"/>
  <c r="K172" i="21"/>
  <c r="X172" i="21" s="1"/>
  <c r="K97" i="21"/>
  <c r="X97" i="21" s="1"/>
  <c r="K55" i="21"/>
  <c r="X55" i="21" s="1"/>
  <c r="K364" i="21"/>
  <c r="X364" i="21" s="1"/>
  <c r="K318" i="21"/>
  <c r="X318" i="21" s="1"/>
  <c r="K283" i="21"/>
  <c r="X283" i="21" s="1"/>
  <c r="K198" i="21"/>
  <c r="X198" i="21" s="1"/>
  <c r="K216" i="21"/>
  <c r="X216" i="21" s="1"/>
  <c r="K272" i="21"/>
  <c r="X272" i="21" s="1"/>
  <c r="K300" i="21"/>
  <c r="X300" i="21" s="1"/>
  <c r="K345" i="21"/>
  <c r="X345" i="21" s="1"/>
  <c r="K246" i="21"/>
  <c r="X246" i="21" s="1"/>
  <c r="K35" i="21"/>
  <c r="X35" i="21" s="1"/>
  <c r="K224" i="21"/>
  <c r="X224" i="21" s="1"/>
  <c r="K48" i="21"/>
  <c r="X48" i="21" s="1"/>
  <c r="K175" i="21"/>
  <c r="X175" i="21" s="1"/>
  <c r="K249" i="21"/>
  <c r="X249" i="21" s="1"/>
  <c r="K71" i="21"/>
  <c r="X71" i="21" s="1"/>
  <c r="K108" i="21"/>
  <c r="X108" i="21" s="1"/>
  <c r="K390" i="21"/>
  <c r="X390" i="21" s="1"/>
  <c r="K99" i="21"/>
  <c r="X99" i="21" s="1"/>
  <c r="K277" i="21"/>
  <c r="X277" i="21" s="1"/>
  <c r="K148" i="21"/>
  <c r="X148" i="21" s="1"/>
  <c r="K288" i="21"/>
  <c r="X288" i="21" s="1"/>
  <c r="K41" i="21"/>
  <c r="X41" i="21" s="1"/>
  <c r="GR3" i="13"/>
  <c r="I55" i="24"/>
  <c r="G42" i="42" s="1"/>
  <c r="I57" i="24"/>
  <c r="G46" i="42" s="1"/>
  <c r="I56" i="24"/>
  <c r="G44" i="42" s="1"/>
  <c r="X25" i="21" l="1"/>
  <c r="GO10" i="13" s="1"/>
  <c r="GN11" i="13"/>
  <c r="Z24" i="21"/>
  <c r="GS10" i="13" s="1"/>
  <c r="GR11" i="13"/>
  <c r="G227" i="21"/>
  <c r="GP227" i="13" s="1"/>
  <c r="G76" i="21"/>
  <c r="GP76" i="13" s="1"/>
  <c r="G140" i="21"/>
  <c r="GP140" i="13" s="1"/>
  <c r="G204" i="21"/>
  <c r="GP204" i="13" s="1"/>
  <c r="G268" i="21"/>
  <c r="GP268" i="13" s="1"/>
  <c r="G332" i="21"/>
  <c r="GP332" i="13" s="1"/>
  <c r="G35" i="21"/>
  <c r="GP35" i="13" s="1"/>
  <c r="G251" i="21"/>
  <c r="GP251" i="13" s="1"/>
  <c r="G45" i="21"/>
  <c r="GM45" i="13" s="1"/>
  <c r="G109" i="21"/>
  <c r="GP109" i="13" s="1"/>
  <c r="G173" i="21"/>
  <c r="GP173" i="13" s="1"/>
  <c r="G237" i="21"/>
  <c r="GP237" i="13" s="1"/>
  <c r="G301" i="21"/>
  <c r="GP301" i="13" s="1"/>
  <c r="G365" i="21"/>
  <c r="GP365" i="13" s="1"/>
  <c r="G187" i="21"/>
  <c r="GN187" i="13" s="1"/>
  <c r="G355" i="21"/>
  <c r="GP355" i="13" s="1"/>
  <c r="G70" i="21"/>
  <c r="GN70" i="13" s="1"/>
  <c r="G134" i="21"/>
  <c r="GP134" i="13" s="1"/>
  <c r="G198" i="21"/>
  <c r="GP198" i="13" s="1"/>
  <c r="G262" i="21"/>
  <c r="GM262" i="13" s="1"/>
  <c r="G326" i="21"/>
  <c r="GN326" i="13" s="1"/>
  <c r="G390" i="21"/>
  <c r="GP390" i="13" s="1"/>
  <c r="G235" i="21"/>
  <c r="GP235" i="13" s="1"/>
  <c r="G63" i="21"/>
  <c r="GP63" i="13" s="1"/>
  <c r="G127" i="21"/>
  <c r="GN127" i="13" s="1"/>
  <c r="G191" i="21"/>
  <c r="GP191" i="13" s="1"/>
  <c r="G255" i="21"/>
  <c r="GP255" i="13" s="1"/>
  <c r="G319" i="21"/>
  <c r="GP319" i="13" s="1"/>
  <c r="G383" i="21"/>
  <c r="GM383" i="13" s="1"/>
  <c r="G184" i="21"/>
  <c r="GP184" i="13" s="1"/>
  <c r="G248" i="21"/>
  <c r="GP248" i="13" s="1"/>
  <c r="G312" i="21"/>
  <c r="GP312" i="13" s="1"/>
  <c r="G376" i="21"/>
  <c r="GN376" i="13" s="1"/>
  <c r="G88" i="21"/>
  <c r="GP88" i="13" s="1"/>
  <c r="G49" i="21"/>
  <c r="GP49" i="13" s="1"/>
  <c r="G113" i="21"/>
  <c r="GN113" i="13" s="1"/>
  <c r="G177" i="21"/>
  <c r="GN177" i="13" s="1"/>
  <c r="G241" i="21"/>
  <c r="GP241" i="13" s="1"/>
  <c r="G305" i="21"/>
  <c r="GP305" i="13" s="1"/>
  <c r="G369" i="21"/>
  <c r="GP369" i="13" s="1"/>
  <c r="G58" i="21"/>
  <c r="GM58" i="13" s="1"/>
  <c r="G122" i="21"/>
  <c r="GP122" i="13" s="1"/>
  <c r="G186" i="21"/>
  <c r="GP186" i="13" s="1"/>
  <c r="G250" i="21"/>
  <c r="GM250" i="13" s="1"/>
  <c r="G314" i="21"/>
  <c r="GM314" i="13" s="1"/>
  <c r="G378" i="21"/>
  <c r="GP378" i="13" s="1"/>
  <c r="GS3" i="13"/>
  <c r="GM14" i="13"/>
  <c r="GM15" i="13"/>
  <c r="W25" i="21"/>
  <c r="GM10" i="13" s="1"/>
  <c r="I20" i="21"/>
  <c r="G283" i="21"/>
  <c r="GN283" i="13" s="1"/>
  <c r="G84" i="21"/>
  <c r="GP84" i="13" s="1"/>
  <c r="G148" i="21"/>
  <c r="GP148" i="13" s="1"/>
  <c r="G212" i="21"/>
  <c r="GP212" i="13" s="1"/>
  <c r="G276" i="21"/>
  <c r="GP276" i="13" s="1"/>
  <c r="G340" i="21"/>
  <c r="GM340" i="13" s="1"/>
  <c r="G51" i="21"/>
  <c r="GP51" i="13" s="1"/>
  <c r="G275" i="21"/>
  <c r="GP275" i="13" s="1"/>
  <c r="G53" i="21"/>
  <c r="GP53" i="13" s="1"/>
  <c r="G117" i="21"/>
  <c r="GN117" i="13" s="1"/>
  <c r="G181" i="21"/>
  <c r="GP181" i="13" s="1"/>
  <c r="G245" i="21"/>
  <c r="GP245" i="13" s="1"/>
  <c r="G309" i="21"/>
  <c r="GP309" i="13" s="1"/>
  <c r="G373" i="21"/>
  <c r="GN373" i="13" s="1"/>
  <c r="G211" i="21"/>
  <c r="GP211" i="13" s="1"/>
  <c r="G371" i="21"/>
  <c r="GP371" i="13" s="1"/>
  <c r="G78" i="21"/>
  <c r="GP78" i="13" s="1"/>
  <c r="G142" i="21"/>
  <c r="GM142" i="13" s="1"/>
  <c r="G206" i="21"/>
  <c r="GP206" i="13" s="1"/>
  <c r="G270" i="21"/>
  <c r="GN270" i="13" s="1"/>
  <c r="G334" i="21"/>
  <c r="GN334" i="13" s="1"/>
  <c r="G27" i="21"/>
  <c r="GM27" i="13" s="1"/>
  <c r="G259" i="21"/>
  <c r="GP259" i="13" s="1"/>
  <c r="G71" i="21"/>
  <c r="GP71" i="13" s="1"/>
  <c r="G135" i="21"/>
  <c r="GN135" i="13" s="1"/>
  <c r="G199" i="21"/>
  <c r="GN199" i="13" s="1"/>
  <c r="G263" i="21"/>
  <c r="GP263" i="13" s="1"/>
  <c r="G327" i="21"/>
  <c r="GP327" i="13" s="1"/>
  <c r="G128" i="21"/>
  <c r="GP128" i="13" s="1"/>
  <c r="G192" i="21"/>
  <c r="GN192" i="13" s="1"/>
  <c r="G256" i="21"/>
  <c r="GM256" i="13" s="1"/>
  <c r="G320" i="21"/>
  <c r="GN320" i="13" s="1"/>
  <c r="G384" i="21"/>
  <c r="GP384" i="13" s="1"/>
  <c r="G96" i="21"/>
  <c r="GM96" i="13" s="1"/>
  <c r="G57" i="21"/>
  <c r="GP57" i="13" s="1"/>
  <c r="G121" i="21"/>
  <c r="GP121" i="13" s="1"/>
  <c r="G185" i="21"/>
  <c r="GP185" i="13" s="1"/>
  <c r="G249" i="21"/>
  <c r="GN249" i="13" s="1"/>
  <c r="G313" i="21"/>
  <c r="GP313" i="13" s="1"/>
  <c r="G377" i="21"/>
  <c r="GP377" i="13" s="1"/>
  <c r="G66" i="21"/>
  <c r="GP66" i="13" s="1"/>
  <c r="G130" i="21"/>
  <c r="GP130" i="13" s="1"/>
  <c r="G194" i="21"/>
  <c r="GP194" i="13" s="1"/>
  <c r="G258" i="21"/>
  <c r="GP258" i="13" s="1"/>
  <c r="G322" i="21"/>
  <c r="GP322" i="13" s="1"/>
  <c r="G386" i="21"/>
  <c r="GN386" i="13" s="1"/>
  <c r="GS2" i="13"/>
  <c r="GL14" i="13"/>
  <c r="GL15" i="13"/>
  <c r="G28" i="21"/>
  <c r="GP28" i="13" s="1"/>
  <c r="G92" i="21"/>
  <c r="GP92" i="13" s="1"/>
  <c r="G156" i="21"/>
  <c r="GN156" i="13" s="1"/>
  <c r="G220" i="21"/>
  <c r="GN220" i="13" s="1"/>
  <c r="G284" i="21"/>
  <c r="GP284" i="13" s="1"/>
  <c r="G348" i="21"/>
  <c r="GP348" i="13" s="1"/>
  <c r="G83" i="21"/>
  <c r="GM83" i="13" s="1"/>
  <c r="G307" i="21"/>
  <c r="GP307" i="13" s="1"/>
  <c r="G61" i="21"/>
  <c r="GP61" i="13" s="1"/>
  <c r="G125" i="21"/>
  <c r="GP125" i="13" s="1"/>
  <c r="G189" i="21"/>
  <c r="GN189" i="13" s="1"/>
  <c r="G253" i="21"/>
  <c r="GP253" i="13" s="1"/>
  <c r="G317" i="21"/>
  <c r="GP317" i="13" s="1"/>
  <c r="G381" i="21"/>
  <c r="GN381" i="13" s="1"/>
  <c r="G243" i="21"/>
  <c r="GN243" i="13" s="1"/>
  <c r="G387" i="21"/>
  <c r="GP387" i="13" s="1"/>
  <c r="G86" i="21"/>
  <c r="GP86" i="13" s="1"/>
  <c r="G150" i="21"/>
  <c r="GP150" i="13" s="1"/>
  <c r="G214" i="21"/>
  <c r="GN214" i="13" s="1"/>
  <c r="G278" i="21"/>
  <c r="GP278" i="13" s="1"/>
  <c r="G342" i="21"/>
  <c r="GP342" i="13" s="1"/>
  <c r="G59" i="21"/>
  <c r="GP59" i="13" s="1"/>
  <c r="G299" i="21"/>
  <c r="GN299" i="13" s="1"/>
  <c r="G79" i="21"/>
  <c r="GP79" i="13" s="1"/>
  <c r="G143" i="21"/>
  <c r="GP143" i="13" s="1"/>
  <c r="G207" i="21"/>
  <c r="GP207" i="13" s="1"/>
  <c r="G271" i="21"/>
  <c r="GM271" i="13" s="1"/>
  <c r="G335" i="21"/>
  <c r="GP335" i="13" s="1"/>
  <c r="G136" i="21"/>
  <c r="GP136" i="13" s="1"/>
  <c r="G200" i="21"/>
  <c r="GN200" i="13" s="1"/>
  <c r="G264" i="21"/>
  <c r="GN264" i="13" s="1"/>
  <c r="G328" i="21"/>
  <c r="GM328" i="13" s="1"/>
  <c r="G32" i="21"/>
  <c r="GP32" i="13" s="1"/>
  <c r="G104" i="21"/>
  <c r="GP104" i="13" s="1"/>
  <c r="G65" i="21"/>
  <c r="GM65" i="13" s="1"/>
  <c r="G129" i="21"/>
  <c r="GN129" i="13" s="1"/>
  <c r="G193" i="21"/>
  <c r="GN193" i="13" s="1"/>
  <c r="G257" i="21"/>
  <c r="GP257" i="13" s="1"/>
  <c r="G321" i="21"/>
  <c r="GN321" i="13" s="1"/>
  <c r="G385" i="21"/>
  <c r="GN385" i="13" s="1"/>
  <c r="G74" i="21"/>
  <c r="GP74" i="13" s="1"/>
  <c r="G138" i="21"/>
  <c r="GP138" i="13" s="1"/>
  <c r="G202" i="21"/>
  <c r="GP202" i="13" s="1"/>
  <c r="G266" i="21"/>
  <c r="GP266" i="13" s="1"/>
  <c r="G330" i="21"/>
  <c r="GP330" i="13" s="1"/>
  <c r="G36" i="21"/>
  <c r="GP36" i="13" s="1"/>
  <c r="G100" i="21"/>
  <c r="GP100" i="13" s="1"/>
  <c r="G164" i="21"/>
  <c r="GP164" i="13" s="1"/>
  <c r="G228" i="21"/>
  <c r="GP228" i="13" s="1"/>
  <c r="G292" i="21"/>
  <c r="GP292" i="13" s="1"/>
  <c r="G356" i="21"/>
  <c r="GP356" i="13" s="1"/>
  <c r="G115" i="21"/>
  <c r="GP115" i="13" s="1"/>
  <c r="G323" i="21"/>
  <c r="GP323" i="13" s="1"/>
  <c r="G69" i="21"/>
  <c r="GP69" i="13" s="1"/>
  <c r="G133" i="21"/>
  <c r="GP133" i="13" s="1"/>
  <c r="G197" i="21"/>
  <c r="GP197" i="13" s="1"/>
  <c r="G261" i="21"/>
  <c r="GP261" i="13" s="1"/>
  <c r="G325" i="21"/>
  <c r="GP325" i="13" s="1"/>
  <c r="G389" i="21"/>
  <c r="GN389" i="13" s="1"/>
  <c r="G267" i="21"/>
  <c r="GP267" i="13" s="1"/>
  <c r="G30" i="21"/>
  <c r="GP30" i="13" s="1"/>
  <c r="G94" i="21"/>
  <c r="GP94" i="13" s="1"/>
  <c r="G158" i="21"/>
  <c r="GP158" i="13" s="1"/>
  <c r="G222" i="21"/>
  <c r="GN222" i="13" s="1"/>
  <c r="G286" i="21"/>
  <c r="GP286" i="13" s="1"/>
  <c r="G350" i="21"/>
  <c r="GM350" i="13" s="1"/>
  <c r="G91" i="21"/>
  <c r="GP91" i="13" s="1"/>
  <c r="G379" i="21"/>
  <c r="GM379" i="13" s="1"/>
  <c r="G87" i="21"/>
  <c r="GP87" i="13" s="1"/>
  <c r="G151" i="21"/>
  <c r="GP151" i="13" s="1"/>
  <c r="G215" i="21"/>
  <c r="GN215" i="13" s="1"/>
  <c r="G279" i="21"/>
  <c r="GP279" i="13" s="1"/>
  <c r="G343" i="21"/>
  <c r="GP343" i="13" s="1"/>
  <c r="G144" i="21"/>
  <c r="GM144" i="13" s="1"/>
  <c r="G208" i="21"/>
  <c r="GP208" i="13" s="1"/>
  <c r="G272" i="21"/>
  <c r="GP272" i="13" s="1"/>
  <c r="G336" i="21"/>
  <c r="GP336" i="13" s="1"/>
  <c r="G48" i="21"/>
  <c r="GN48" i="13" s="1"/>
  <c r="G112" i="21"/>
  <c r="GP112" i="13" s="1"/>
  <c r="G73" i="21"/>
  <c r="GP73" i="13" s="1"/>
  <c r="G137" i="21"/>
  <c r="GP137" i="13" s="1"/>
  <c r="G201" i="21"/>
  <c r="GP201" i="13" s="1"/>
  <c r="G265" i="21"/>
  <c r="GN265" i="13" s="1"/>
  <c r="G329" i="21"/>
  <c r="GP329" i="13" s="1"/>
  <c r="G40" i="21"/>
  <c r="GP40" i="13" s="1"/>
  <c r="G82" i="21"/>
  <c r="GM82" i="13" s="1"/>
  <c r="G146" i="21"/>
  <c r="GP146" i="13" s="1"/>
  <c r="G210" i="21"/>
  <c r="GP210" i="13" s="1"/>
  <c r="G274" i="21"/>
  <c r="GP274" i="13" s="1"/>
  <c r="G338" i="21"/>
  <c r="GP338" i="13" s="1"/>
  <c r="G67" i="21"/>
  <c r="GP67" i="13" s="1"/>
  <c r="G44" i="21"/>
  <c r="GP44" i="13" s="1"/>
  <c r="G108" i="21"/>
  <c r="GP108" i="13" s="1"/>
  <c r="G172" i="21"/>
  <c r="GP172" i="13" s="1"/>
  <c r="G236" i="21"/>
  <c r="GP236" i="13" s="1"/>
  <c r="G300" i="21"/>
  <c r="GP300" i="13" s="1"/>
  <c r="G364" i="21"/>
  <c r="GP364" i="13" s="1"/>
  <c r="G147" i="21"/>
  <c r="GP147" i="13" s="1"/>
  <c r="G347" i="21"/>
  <c r="GP347" i="13" s="1"/>
  <c r="G77" i="21"/>
  <c r="GP77" i="13" s="1"/>
  <c r="G141" i="21"/>
  <c r="GP141" i="13" s="1"/>
  <c r="G205" i="21"/>
  <c r="GN205" i="13" s="1"/>
  <c r="G269" i="21"/>
  <c r="GP269" i="13" s="1"/>
  <c r="G333" i="21"/>
  <c r="GM333" i="13" s="1"/>
  <c r="G43" i="21"/>
  <c r="GP43" i="13" s="1"/>
  <c r="G291" i="21"/>
  <c r="GP291" i="13" s="1"/>
  <c r="G38" i="21"/>
  <c r="GM38" i="13" s="1"/>
  <c r="G102" i="21"/>
  <c r="GP102" i="13" s="1"/>
  <c r="G166" i="21"/>
  <c r="GM166" i="13" s="1"/>
  <c r="G230" i="21"/>
  <c r="GP230" i="13" s="1"/>
  <c r="G294" i="21"/>
  <c r="GN294" i="13" s="1"/>
  <c r="G358" i="21"/>
  <c r="GP358" i="13" s="1"/>
  <c r="G123" i="21"/>
  <c r="GP123" i="13" s="1"/>
  <c r="G31" i="21"/>
  <c r="GP31" i="13" s="1"/>
  <c r="G95" i="21"/>
  <c r="GP95" i="13" s="1"/>
  <c r="G159" i="21"/>
  <c r="GN159" i="13" s="1"/>
  <c r="G223" i="21"/>
  <c r="GP223" i="13" s="1"/>
  <c r="G287" i="21"/>
  <c r="GP287" i="13" s="1"/>
  <c r="G351" i="21"/>
  <c r="GP351" i="13" s="1"/>
  <c r="G152" i="21"/>
  <c r="GM152" i="13" s="1"/>
  <c r="G216" i="21"/>
  <c r="GP216" i="13" s="1"/>
  <c r="G280" i="21"/>
  <c r="GP280" i="13" s="1"/>
  <c r="G344" i="21"/>
  <c r="GP344" i="13" s="1"/>
  <c r="G56" i="21"/>
  <c r="GP56" i="13" s="1"/>
  <c r="G120" i="21"/>
  <c r="GP120" i="13" s="1"/>
  <c r="G81" i="21"/>
  <c r="GN81" i="13" s="1"/>
  <c r="G145" i="21"/>
  <c r="GP145" i="13" s="1"/>
  <c r="G209" i="21"/>
  <c r="GP209" i="13" s="1"/>
  <c r="G273" i="21"/>
  <c r="GM273" i="13" s="1"/>
  <c r="G337" i="21"/>
  <c r="GP337" i="13" s="1"/>
  <c r="G26" i="21"/>
  <c r="GP26" i="13" s="1"/>
  <c r="G90" i="21"/>
  <c r="GP90" i="13" s="1"/>
  <c r="G154" i="21"/>
  <c r="GP154" i="13" s="1"/>
  <c r="G218" i="21"/>
  <c r="GP218" i="13" s="1"/>
  <c r="G282" i="21"/>
  <c r="GN282" i="13" s="1"/>
  <c r="G346" i="21"/>
  <c r="GP346" i="13" s="1"/>
  <c r="G99" i="21"/>
  <c r="GM99" i="13" s="1"/>
  <c r="G52" i="21"/>
  <c r="GM52" i="13" s="1"/>
  <c r="G116" i="21"/>
  <c r="GN116" i="13" s="1"/>
  <c r="G180" i="21"/>
  <c r="G244" i="21"/>
  <c r="GN244" i="13" s="1"/>
  <c r="G308" i="21"/>
  <c r="GN308" i="13" s="1"/>
  <c r="G372" i="21"/>
  <c r="GM372" i="13" s="1"/>
  <c r="G179" i="21"/>
  <c r="GN179" i="13" s="1"/>
  <c r="G363" i="21"/>
  <c r="GM363" i="13" s="1"/>
  <c r="G85" i="21"/>
  <c r="GP85" i="13" s="1"/>
  <c r="G149" i="21"/>
  <c r="GP149" i="13" s="1"/>
  <c r="G213" i="21"/>
  <c r="GM213" i="13" s="1"/>
  <c r="G277" i="21"/>
  <c r="GN277" i="13" s="1"/>
  <c r="G341" i="21"/>
  <c r="GM341" i="13" s="1"/>
  <c r="G75" i="21"/>
  <c r="GP75" i="13" s="1"/>
  <c r="G315" i="21"/>
  <c r="GM315" i="13" s="1"/>
  <c r="G46" i="21"/>
  <c r="GN46" i="13" s="1"/>
  <c r="G110" i="21"/>
  <c r="GN110" i="13" s="1"/>
  <c r="G174" i="21"/>
  <c r="GP174" i="13" s="1"/>
  <c r="G238" i="21"/>
  <c r="GM238" i="13" s="1"/>
  <c r="G302" i="21"/>
  <c r="GN302" i="13" s="1"/>
  <c r="G366" i="21"/>
  <c r="GM366" i="13" s="1"/>
  <c r="G139" i="21"/>
  <c r="GN139" i="13" s="1"/>
  <c r="G39" i="21"/>
  <c r="GN39" i="13" s="1"/>
  <c r="G103" i="21"/>
  <c r="GN103" i="13" s="1"/>
  <c r="G167" i="21"/>
  <c r="GP167" i="13" s="1"/>
  <c r="G231" i="21"/>
  <c r="GP231" i="13" s="1"/>
  <c r="G295" i="21"/>
  <c r="G359" i="21"/>
  <c r="GM359" i="13" s="1"/>
  <c r="G160" i="21"/>
  <c r="GN160" i="13" s="1"/>
  <c r="G224" i="21"/>
  <c r="GN224" i="13" s="1"/>
  <c r="G288" i="21"/>
  <c r="G352" i="21"/>
  <c r="GM352" i="13" s="1"/>
  <c r="G64" i="21"/>
  <c r="GP64" i="13" s="1"/>
  <c r="G89" i="21"/>
  <c r="GN89" i="13" s="1"/>
  <c r="G153" i="21"/>
  <c r="GN153" i="13" s="1"/>
  <c r="G217" i="21"/>
  <c r="GN217" i="13" s="1"/>
  <c r="G281" i="21"/>
  <c r="GM281" i="13" s="1"/>
  <c r="G345" i="21"/>
  <c r="GN345" i="13" s="1"/>
  <c r="G34" i="21"/>
  <c r="GN34" i="13" s="1"/>
  <c r="G98" i="21"/>
  <c r="GN98" i="13" s="1"/>
  <c r="G162" i="21"/>
  <c r="GP162" i="13" s="1"/>
  <c r="G226" i="21"/>
  <c r="GM226" i="13" s="1"/>
  <c r="G290" i="21"/>
  <c r="GP290" i="13" s="1"/>
  <c r="G354" i="21"/>
  <c r="GN354" i="13" s="1"/>
  <c r="G131" i="21"/>
  <c r="GM131" i="13" s="1"/>
  <c r="G60" i="21"/>
  <c r="GM60" i="13" s="1"/>
  <c r="G124" i="21"/>
  <c r="GM124" i="13" s="1"/>
  <c r="G188" i="21"/>
  <c r="GM188" i="13" s="1"/>
  <c r="G252" i="21"/>
  <c r="GM252" i="13" s="1"/>
  <c r="G316" i="21"/>
  <c r="GP316" i="13" s="1"/>
  <c r="G380" i="21"/>
  <c r="GN380" i="13" s="1"/>
  <c r="G195" i="21"/>
  <c r="GM195" i="13" s="1"/>
  <c r="G29" i="21"/>
  <c r="GM29" i="13" s="1"/>
  <c r="G93" i="21"/>
  <c r="GP93" i="13" s="1"/>
  <c r="G157" i="21"/>
  <c r="GN157" i="13" s="1"/>
  <c r="G221" i="21"/>
  <c r="GM221" i="13" s="1"/>
  <c r="G285" i="21"/>
  <c r="GM285" i="13" s="1"/>
  <c r="G349" i="21"/>
  <c r="GP349" i="13" s="1"/>
  <c r="G107" i="21"/>
  <c r="G331" i="21"/>
  <c r="GN331" i="13" s="1"/>
  <c r="G54" i="21"/>
  <c r="GM54" i="13" s="1"/>
  <c r="G118" i="21"/>
  <c r="GM118" i="13" s="1"/>
  <c r="G182" i="21"/>
  <c r="G246" i="21"/>
  <c r="GN246" i="13" s="1"/>
  <c r="G310" i="21"/>
  <c r="GN310" i="13" s="1"/>
  <c r="G374" i="21"/>
  <c r="GP374" i="13" s="1"/>
  <c r="G171" i="21"/>
  <c r="GN171" i="13" s="1"/>
  <c r="G47" i="21"/>
  <c r="GM47" i="13" s="1"/>
  <c r="G111" i="21"/>
  <c r="GM111" i="13" s="1"/>
  <c r="G175" i="21"/>
  <c r="GP175" i="13" s="1"/>
  <c r="G239" i="21"/>
  <c r="GM239" i="13" s="1"/>
  <c r="G303" i="21"/>
  <c r="GM303" i="13" s="1"/>
  <c r="G367" i="21"/>
  <c r="GP367" i="13" s="1"/>
  <c r="G168" i="21"/>
  <c r="GN168" i="13" s="1"/>
  <c r="G232" i="21"/>
  <c r="G296" i="21"/>
  <c r="GN296" i="13" s="1"/>
  <c r="G360" i="21"/>
  <c r="GN360" i="13" s="1"/>
  <c r="G72" i="21"/>
  <c r="GP72" i="13" s="1"/>
  <c r="G97" i="21"/>
  <c r="G161" i="21"/>
  <c r="GN161" i="13" s="1"/>
  <c r="G225" i="21"/>
  <c r="GP225" i="13" s="1"/>
  <c r="G289" i="21"/>
  <c r="GN289" i="13" s="1"/>
  <c r="G353" i="21"/>
  <c r="GM353" i="13" s="1"/>
  <c r="G42" i="21"/>
  <c r="GM42" i="13" s="1"/>
  <c r="G106" i="21"/>
  <c r="GN106" i="13" s="1"/>
  <c r="G170" i="21"/>
  <c r="GP170" i="13" s="1"/>
  <c r="G234" i="21"/>
  <c r="GN234" i="13" s="1"/>
  <c r="G298" i="21"/>
  <c r="GM298" i="13" s="1"/>
  <c r="G362" i="21"/>
  <c r="GN362" i="13" s="1"/>
  <c r="G163" i="21"/>
  <c r="GM163" i="13" s="1"/>
  <c r="G68" i="21"/>
  <c r="GN68" i="13" s="1"/>
  <c r="G132" i="21"/>
  <c r="GP132" i="13" s="1"/>
  <c r="G196" i="21"/>
  <c r="GP196" i="13" s="1"/>
  <c r="G260" i="21"/>
  <c r="GP260" i="13" s="1"/>
  <c r="G324" i="21"/>
  <c r="GN324" i="13" s="1"/>
  <c r="G388" i="21"/>
  <c r="GP388" i="13" s="1"/>
  <c r="G219" i="21"/>
  <c r="GP219" i="13" s="1"/>
  <c r="G37" i="21"/>
  <c r="GP37" i="13" s="1"/>
  <c r="G101" i="21"/>
  <c r="GP101" i="13" s="1"/>
  <c r="G165" i="21"/>
  <c r="GP165" i="13" s="1"/>
  <c r="G229" i="21"/>
  <c r="GP229" i="13" s="1"/>
  <c r="G293" i="21"/>
  <c r="GP293" i="13" s="1"/>
  <c r="G357" i="21"/>
  <c r="GP357" i="13" s="1"/>
  <c r="G155" i="21"/>
  <c r="GP155" i="13" s="1"/>
  <c r="G339" i="21"/>
  <c r="GP339" i="13" s="1"/>
  <c r="G62" i="21"/>
  <c r="GP62" i="13" s="1"/>
  <c r="G126" i="21"/>
  <c r="GN126" i="13" s="1"/>
  <c r="G190" i="21"/>
  <c r="GM190" i="13" s="1"/>
  <c r="G254" i="21"/>
  <c r="GM254" i="13" s="1"/>
  <c r="G318" i="21"/>
  <c r="GN318" i="13" s="1"/>
  <c r="G382" i="21"/>
  <c r="GN382" i="13" s="1"/>
  <c r="G203" i="21"/>
  <c r="GP203" i="13" s="1"/>
  <c r="G55" i="21"/>
  <c r="GP55" i="13" s="1"/>
  <c r="G119" i="21"/>
  <c r="GN119" i="13" s="1"/>
  <c r="G183" i="21"/>
  <c r="GN183" i="13" s="1"/>
  <c r="G247" i="21"/>
  <c r="GP247" i="13" s="1"/>
  <c r="G311" i="21"/>
  <c r="GM311" i="13" s="1"/>
  <c r="G375" i="21"/>
  <c r="GP375" i="13" s="1"/>
  <c r="G176" i="21"/>
  <c r="GP176" i="13" s="1"/>
  <c r="G240" i="21"/>
  <c r="GP240" i="13" s="1"/>
  <c r="G304" i="21"/>
  <c r="GM304" i="13" s="1"/>
  <c r="G368" i="21"/>
  <c r="GP368" i="13" s="1"/>
  <c r="G80" i="21"/>
  <c r="GM80" i="13" s="1"/>
  <c r="G41" i="21"/>
  <c r="GP41" i="13" s="1"/>
  <c r="G105" i="21"/>
  <c r="GP105" i="13" s="1"/>
  <c r="G169" i="21"/>
  <c r="GM169" i="13" s="1"/>
  <c r="G233" i="21"/>
  <c r="GP233" i="13" s="1"/>
  <c r="G297" i="21"/>
  <c r="GP297" i="13" s="1"/>
  <c r="G361" i="21"/>
  <c r="GP361" i="13" s="1"/>
  <c r="G50" i="21"/>
  <c r="GP50" i="13" s="1"/>
  <c r="G114" i="21"/>
  <c r="GM114" i="13" s="1"/>
  <c r="G178" i="21"/>
  <c r="GN178" i="13" s="1"/>
  <c r="G242" i="21"/>
  <c r="GP242" i="13" s="1"/>
  <c r="G306" i="21"/>
  <c r="GP306" i="13" s="1"/>
  <c r="G370" i="21"/>
  <c r="GN370" i="13" s="1"/>
  <c r="I44" i="42"/>
  <c r="F44" i="42"/>
  <c r="J44" i="42"/>
  <c r="C44" i="42"/>
  <c r="I46" i="42"/>
  <c r="F46" i="42"/>
  <c r="J46" i="42"/>
  <c r="C46" i="42"/>
  <c r="F42" i="42"/>
  <c r="I42" i="42"/>
  <c r="J42" i="42"/>
  <c r="C42" i="42"/>
  <c r="K20" i="21"/>
  <c r="X33" i="21"/>
  <c r="M20" i="21"/>
  <c r="M24" i="21" s="1"/>
  <c r="Y33" i="21"/>
  <c r="Z32" i="21"/>
  <c r="O20" i="21"/>
  <c r="O24" i="21" s="1"/>
  <c r="GM35" i="13" l="1"/>
  <c r="GM130" i="13"/>
  <c r="GM268" i="13"/>
  <c r="N20" i="21"/>
  <c r="N24" i="21" s="1"/>
  <c r="GM321" i="13"/>
  <c r="GM305" i="13"/>
  <c r="GM86" i="13"/>
  <c r="GM76" i="13"/>
  <c r="GM109" i="13"/>
  <c r="GM381" i="13"/>
  <c r="GM88" i="13"/>
  <c r="GM134" i="13"/>
  <c r="GN109" i="13"/>
  <c r="GM133" i="13"/>
  <c r="GM376" i="13"/>
  <c r="GM66" i="13"/>
  <c r="GM332" i="13"/>
  <c r="M43" i="42"/>
  <c r="GM70" i="13"/>
  <c r="GM227" i="13"/>
  <c r="GM223" i="13"/>
  <c r="GM272" i="13"/>
  <c r="GN134" i="13"/>
  <c r="GM198" i="13"/>
  <c r="GM354" i="13"/>
  <c r="GM317" i="13"/>
  <c r="GM211" i="13"/>
  <c r="GM156" i="13"/>
  <c r="GM276" i="13"/>
  <c r="G25" i="21"/>
  <c r="GN25" i="13" s="1"/>
  <c r="GN10" i="13" s="1"/>
  <c r="GM335" i="13"/>
  <c r="GM160" i="13"/>
  <c r="GN88" i="13"/>
  <c r="GM167" i="13"/>
  <c r="GM92" i="13"/>
  <c r="GM113" i="13"/>
  <c r="GM319" i="13"/>
  <c r="GM270" i="13"/>
  <c r="GM237" i="13"/>
  <c r="GM150" i="13"/>
  <c r="GM104" i="13"/>
  <c r="GM312" i="13"/>
  <c r="GM194" i="13"/>
  <c r="GN251" i="13"/>
  <c r="GM63" i="13"/>
  <c r="GN227" i="13"/>
  <c r="GM385" i="13"/>
  <c r="GM369" i="13"/>
  <c r="GM148" i="13"/>
  <c r="GN63" i="13"/>
  <c r="GM292" i="13"/>
  <c r="GM75" i="13"/>
  <c r="GM301" i="13"/>
  <c r="GN301" i="13"/>
  <c r="GM30" i="13"/>
  <c r="GM386" i="13"/>
  <c r="GN319" i="13"/>
  <c r="GN140" i="13"/>
  <c r="GN383" i="13"/>
  <c r="GM199" i="13"/>
  <c r="GM300" i="13"/>
  <c r="GM159" i="13"/>
  <c r="GM214" i="13"/>
  <c r="GM71" i="13"/>
  <c r="GN250" i="13"/>
  <c r="GP359" i="13"/>
  <c r="GM187" i="13"/>
  <c r="GP152" i="13"/>
  <c r="GM267" i="13"/>
  <c r="GM73" i="13"/>
  <c r="GM49" i="13"/>
  <c r="GP289" i="13"/>
  <c r="GM216" i="13"/>
  <c r="GM61" i="13"/>
  <c r="GM143" i="13"/>
  <c r="GM255" i="13"/>
  <c r="GM106" i="13"/>
  <c r="GM136" i="13"/>
  <c r="GP381" i="13"/>
  <c r="GP83" i="13"/>
  <c r="GP246" i="13"/>
  <c r="GM43" i="13"/>
  <c r="GP250" i="13"/>
  <c r="GM241" i="13"/>
  <c r="GN365" i="13"/>
  <c r="GP54" i="13"/>
  <c r="GN314" i="13"/>
  <c r="GP29" i="13"/>
  <c r="GP354" i="13"/>
  <c r="GP308" i="13"/>
  <c r="GP159" i="13"/>
  <c r="GP217" i="13"/>
  <c r="GP110" i="13"/>
  <c r="GP192" i="13"/>
  <c r="GP296" i="13"/>
  <c r="GM40" i="13"/>
  <c r="GP321" i="13"/>
  <c r="GP70" i="13"/>
  <c r="GP200" i="13"/>
  <c r="GP299" i="13"/>
  <c r="GP341" i="13"/>
  <c r="GP199" i="13"/>
  <c r="GM310" i="13"/>
  <c r="GM244" i="13"/>
  <c r="GM93" i="13"/>
  <c r="GN258" i="13"/>
  <c r="GP383" i="13"/>
  <c r="GP195" i="13"/>
  <c r="GP153" i="13"/>
  <c r="GP116" i="13"/>
  <c r="GM79" i="13"/>
  <c r="GP65" i="13"/>
  <c r="GP156" i="13"/>
  <c r="GP135" i="13"/>
  <c r="GM334" i="13"/>
  <c r="GP106" i="13"/>
  <c r="GP47" i="13"/>
  <c r="GP118" i="13"/>
  <c r="GP221" i="13"/>
  <c r="GM275" i="13"/>
  <c r="GM377" i="13"/>
  <c r="GP34" i="13"/>
  <c r="GP103" i="13"/>
  <c r="GP52" i="13"/>
  <c r="GM228" i="13"/>
  <c r="GM87" i="13"/>
  <c r="GM230" i="13"/>
  <c r="GP117" i="13"/>
  <c r="GP376" i="13"/>
  <c r="GM151" i="13"/>
  <c r="GM173" i="13"/>
  <c r="GM77" i="13"/>
  <c r="GP42" i="13"/>
  <c r="GM329" i="13"/>
  <c r="GM373" i="13"/>
  <c r="GP214" i="13"/>
  <c r="GN317" i="13"/>
  <c r="GP360" i="13"/>
  <c r="GM139" i="13"/>
  <c r="GP139" i="13"/>
  <c r="GP46" i="13"/>
  <c r="GP244" i="13"/>
  <c r="GM31" i="13"/>
  <c r="GM253" i="13"/>
  <c r="GP386" i="13"/>
  <c r="GP334" i="13"/>
  <c r="GP373" i="13"/>
  <c r="GM242" i="13"/>
  <c r="GM117" i="13"/>
  <c r="GN364" i="13"/>
  <c r="GN274" i="13"/>
  <c r="GM207" i="13"/>
  <c r="GP362" i="13"/>
  <c r="GP161" i="13"/>
  <c r="GP285" i="13"/>
  <c r="GP188" i="13"/>
  <c r="GM257" i="13"/>
  <c r="GP281" i="13"/>
  <c r="GP160" i="13"/>
  <c r="GP302" i="13"/>
  <c r="GP372" i="13"/>
  <c r="GM119" i="13"/>
  <c r="GM249" i="13"/>
  <c r="GP333" i="13"/>
  <c r="GM72" i="13"/>
  <c r="GM220" i="13"/>
  <c r="GP222" i="13"/>
  <c r="GP264" i="13"/>
  <c r="GP243" i="13"/>
  <c r="GM389" i="13"/>
  <c r="GP249" i="13"/>
  <c r="GP27" i="13"/>
  <c r="GP340" i="13"/>
  <c r="GP283" i="13"/>
  <c r="GN355" i="13"/>
  <c r="GN254" i="13"/>
  <c r="GN378" i="13"/>
  <c r="GN366" i="13"/>
  <c r="GP58" i="13"/>
  <c r="GP113" i="13"/>
  <c r="GP127" i="13"/>
  <c r="GP262" i="13"/>
  <c r="GP45" i="13"/>
  <c r="GN151" i="13"/>
  <c r="GM191" i="13"/>
  <c r="GN387" i="13"/>
  <c r="GM36" i="13"/>
  <c r="GM322" i="13"/>
  <c r="GM355" i="13"/>
  <c r="GN358" i="13"/>
  <c r="GN268" i="13"/>
  <c r="GM203" i="13"/>
  <c r="GN271" i="13"/>
  <c r="GM236" i="13"/>
  <c r="GM274" i="13"/>
  <c r="GM283" i="13"/>
  <c r="GP298" i="13"/>
  <c r="GP168" i="13"/>
  <c r="GP310" i="13"/>
  <c r="GM387" i="13"/>
  <c r="GM62" i="13"/>
  <c r="GM84" i="13"/>
  <c r="GM362" i="13"/>
  <c r="GM246" i="13"/>
  <c r="GM261" i="13"/>
  <c r="GN45" i="13"/>
  <c r="GN342" i="13"/>
  <c r="GM307" i="13"/>
  <c r="GM177" i="13"/>
  <c r="GP314" i="13"/>
  <c r="GN163" i="13"/>
  <c r="GN111" i="13"/>
  <c r="GP190" i="13"/>
  <c r="GM264" i="13"/>
  <c r="GM178" i="13"/>
  <c r="GM154" i="13"/>
  <c r="GP111" i="13"/>
  <c r="GP331" i="13"/>
  <c r="GP60" i="13"/>
  <c r="GM219" i="13"/>
  <c r="GP98" i="13"/>
  <c r="GP352" i="13"/>
  <c r="GP99" i="13"/>
  <c r="GM189" i="13"/>
  <c r="GM368" i="13"/>
  <c r="GP379" i="13"/>
  <c r="GM280" i="13"/>
  <c r="GM378" i="13"/>
  <c r="GN146" i="13"/>
  <c r="GN172" i="13"/>
  <c r="GN257" i="13"/>
  <c r="GN344" i="13"/>
  <c r="GM55" i="13"/>
  <c r="GN122" i="13"/>
  <c r="GM279" i="13"/>
  <c r="GM181" i="13"/>
  <c r="GN142" i="13"/>
  <c r="GM81" i="13"/>
  <c r="GN325" i="13"/>
  <c r="GM67" i="13"/>
  <c r="GM122" i="13"/>
  <c r="GM128" i="13"/>
  <c r="GP178" i="13"/>
  <c r="GP131" i="13"/>
  <c r="GM278" i="13"/>
  <c r="GM225" i="13"/>
  <c r="GP363" i="13"/>
  <c r="GM357" i="13"/>
  <c r="GM243" i="13"/>
  <c r="GM326" i="13"/>
  <c r="GM313" i="13"/>
  <c r="GN202" i="13"/>
  <c r="GN312" i="13"/>
  <c r="GN260" i="13"/>
  <c r="GM309" i="13"/>
  <c r="GP303" i="13"/>
  <c r="GP252" i="13"/>
  <c r="GM127" i="13"/>
  <c r="GP224" i="13"/>
  <c r="GP366" i="13"/>
  <c r="GP277" i="13"/>
  <c r="GM358" i="13"/>
  <c r="GM202" i="13"/>
  <c r="GM356" i="13"/>
  <c r="GP271" i="13"/>
  <c r="GP189" i="13"/>
  <c r="GP96" i="13"/>
  <c r="GP142" i="13"/>
  <c r="GN340" i="13"/>
  <c r="GN43" i="13"/>
  <c r="GP177" i="13"/>
  <c r="GP326" i="13"/>
  <c r="GM192" i="13"/>
  <c r="GM193" i="13"/>
  <c r="GN248" i="13"/>
  <c r="GQ232" i="13"/>
  <c r="T232" i="21"/>
  <c r="S232" i="21" s="1"/>
  <c r="GK232" i="13"/>
  <c r="GL232" i="13" s="1"/>
  <c r="GO232" i="13"/>
  <c r="T107" i="21"/>
  <c r="S107" i="21" s="1"/>
  <c r="GK107" i="13"/>
  <c r="GL107" i="13" s="1"/>
  <c r="GQ107" i="13"/>
  <c r="GO107" i="13"/>
  <c r="T295" i="21"/>
  <c r="S295" i="21" s="1"/>
  <c r="GK295" i="13"/>
  <c r="GL295" i="13" s="1"/>
  <c r="GQ295" i="13"/>
  <c r="GO295" i="13"/>
  <c r="T180" i="21"/>
  <c r="S180" i="21" s="1"/>
  <c r="GK180" i="13"/>
  <c r="GL180" i="13" s="1"/>
  <c r="GQ180" i="13"/>
  <c r="GO180" i="13"/>
  <c r="GN226" i="13"/>
  <c r="T297" i="21"/>
  <c r="S297" i="21" s="1"/>
  <c r="GK297" i="13"/>
  <c r="GL297" i="13" s="1"/>
  <c r="GQ297" i="13"/>
  <c r="GO297" i="13"/>
  <c r="GK240" i="13"/>
  <c r="GL240" i="13" s="1"/>
  <c r="GQ240" i="13"/>
  <c r="T240" i="21"/>
  <c r="S240" i="21" s="1"/>
  <c r="GO240" i="13"/>
  <c r="T203" i="21"/>
  <c r="S203" i="21" s="1"/>
  <c r="GK203" i="13"/>
  <c r="GL203" i="13" s="1"/>
  <c r="GQ203" i="13"/>
  <c r="GO203" i="13"/>
  <c r="GQ155" i="13"/>
  <c r="T155" i="21"/>
  <c r="S155" i="21" s="1"/>
  <c r="GK155" i="13"/>
  <c r="GL155" i="13" s="1"/>
  <c r="GO155" i="13"/>
  <c r="T388" i="21"/>
  <c r="S388" i="21" s="1"/>
  <c r="GK388" i="13"/>
  <c r="GL388" i="13" s="1"/>
  <c r="GQ388" i="13"/>
  <c r="GO388" i="13"/>
  <c r="GM146" i="13"/>
  <c r="GM171" i="13"/>
  <c r="GQ346" i="13"/>
  <c r="T346" i="21"/>
  <c r="S346" i="21" s="1"/>
  <c r="GK346" i="13"/>
  <c r="GL346" i="13" s="1"/>
  <c r="GO346" i="13"/>
  <c r="T90" i="21"/>
  <c r="S90" i="21" s="1"/>
  <c r="GQ90" i="13"/>
  <c r="GK90" i="13"/>
  <c r="GL90" i="13" s="1"/>
  <c r="GO90" i="13"/>
  <c r="T209" i="21"/>
  <c r="S209" i="21" s="1"/>
  <c r="GK209" i="13"/>
  <c r="GL209" i="13" s="1"/>
  <c r="GQ209" i="13"/>
  <c r="GO209" i="13"/>
  <c r="T56" i="21"/>
  <c r="S56" i="21" s="1"/>
  <c r="GK56" i="13"/>
  <c r="GL56" i="13" s="1"/>
  <c r="GQ56" i="13"/>
  <c r="GO56" i="13"/>
  <c r="GQ152" i="13"/>
  <c r="T152" i="21"/>
  <c r="S152" i="21" s="1"/>
  <c r="GK152" i="13"/>
  <c r="GL152" i="13" s="1"/>
  <c r="GO152" i="13"/>
  <c r="T159" i="21"/>
  <c r="S159" i="21" s="1"/>
  <c r="GK159" i="13"/>
  <c r="GL159" i="13" s="1"/>
  <c r="GQ159" i="13"/>
  <c r="GO159" i="13"/>
  <c r="GK358" i="13"/>
  <c r="GL358" i="13" s="1"/>
  <c r="T358" i="21"/>
  <c r="S358" i="21" s="1"/>
  <c r="GQ358" i="13"/>
  <c r="GO358" i="13"/>
  <c r="T102" i="21"/>
  <c r="S102" i="21" s="1"/>
  <c r="GK102" i="13"/>
  <c r="GL102" i="13" s="1"/>
  <c r="GQ102" i="13"/>
  <c r="GO102" i="13"/>
  <c r="T333" i="21"/>
  <c r="S333" i="21" s="1"/>
  <c r="GK333" i="13"/>
  <c r="GL333" i="13" s="1"/>
  <c r="GQ333" i="13"/>
  <c r="GO333" i="13"/>
  <c r="T77" i="21"/>
  <c r="S77" i="21" s="1"/>
  <c r="GK77" i="13"/>
  <c r="GL77" i="13" s="1"/>
  <c r="GQ77" i="13"/>
  <c r="GO77" i="13"/>
  <c r="GQ300" i="13"/>
  <c r="T300" i="21"/>
  <c r="S300" i="21" s="1"/>
  <c r="GK300" i="13"/>
  <c r="GL300" i="13" s="1"/>
  <c r="GO300" i="13"/>
  <c r="T44" i="21"/>
  <c r="S44" i="21" s="1"/>
  <c r="GK44" i="13"/>
  <c r="GL44" i="13" s="1"/>
  <c r="GQ44" i="13"/>
  <c r="GO44" i="13"/>
  <c r="GM295" i="13"/>
  <c r="GM209" i="13"/>
  <c r="T210" i="21"/>
  <c r="S210" i="21" s="1"/>
  <c r="GK210" i="13"/>
  <c r="GL210" i="13" s="1"/>
  <c r="GQ210" i="13"/>
  <c r="GO210" i="13"/>
  <c r="T329" i="21"/>
  <c r="S329" i="21" s="1"/>
  <c r="GK329" i="13"/>
  <c r="GL329" i="13" s="1"/>
  <c r="GQ329" i="13"/>
  <c r="GO329" i="13"/>
  <c r="T73" i="21"/>
  <c r="S73" i="21" s="1"/>
  <c r="GK73" i="13"/>
  <c r="GL73" i="13" s="1"/>
  <c r="GQ73" i="13"/>
  <c r="GO73" i="13"/>
  <c r="GQ272" i="13"/>
  <c r="T272" i="21"/>
  <c r="S272" i="21" s="1"/>
  <c r="GK272" i="13"/>
  <c r="GL272" i="13" s="1"/>
  <c r="GO272" i="13"/>
  <c r="GQ279" i="13"/>
  <c r="T279" i="21"/>
  <c r="S279" i="21" s="1"/>
  <c r="GK279" i="13"/>
  <c r="GL279" i="13" s="1"/>
  <c r="GO279" i="13"/>
  <c r="T379" i="21"/>
  <c r="S379" i="21" s="1"/>
  <c r="GK379" i="13"/>
  <c r="GL379" i="13" s="1"/>
  <c r="GQ379" i="13"/>
  <c r="GO379" i="13"/>
  <c r="T222" i="21"/>
  <c r="S222" i="21" s="1"/>
  <c r="GK222" i="13"/>
  <c r="GL222" i="13" s="1"/>
  <c r="GQ222" i="13"/>
  <c r="GO222" i="13"/>
  <c r="GK267" i="13"/>
  <c r="GL267" i="13" s="1"/>
  <c r="T267" i="21"/>
  <c r="S267" i="21" s="1"/>
  <c r="GQ267" i="13"/>
  <c r="GO267" i="13"/>
  <c r="T197" i="21"/>
  <c r="S197" i="21" s="1"/>
  <c r="GK197" i="13"/>
  <c r="GL197" i="13" s="1"/>
  <c r="GQ197" i="13"/>
  <c r="GO197" i="13"/>
  <c r="T115" i="21"/>
  <c r="S115" i="21" s="1"/>
  <c r="GQ115" i="13"/>
  <c r="GK115" i="13"/>
  <c r="GL115" i="13" s="1"/>
  <c r="GO115" i="13"/>
  <c r="GQ164" i="13"/>
  <c r="T164" i="21"/>
  <c r="S164" i="21" s="1"/>
  <c r="GK164" i="13"/>
  <c r="GL164" i="13" s="1"/>
  <c r="GO164" i="13"/>
  <c r="GM121" i="13"/>
  <c r="GM218" i="13"/>
  <c r="T138" i="21"/>
  <c r="S138" i="21" s="1"/>
  <c r="GK138" i="13"/>
  <c r="GL138" i="13" s="1"/>
  <c r="GQ138" i="13"/>
  <c r="GO138" i="13"/>
  <c r="GQ257" i="13"/>
  <c r="T257" i="21"/>
  <c r="S257" i="21" s="1"/>
  <c r="GK257" i="13"/>
  <c r="GL257" i="13" s="1"/>
  <c r="GO257" i="13"/>
  <c r="GK104" i="13"/>
  <c r="GL104" i="13" s="1"/>
  <c r="GQ104" i="13"/>
  <c r="T104" i="21"/>
  <c r="S104" i="21" s="1"/>
  <c r="GO104" i="13"/>
  <c r="T200" i="21"/>
  <c r="S200" i="21" s="1"/>
  <c r="GK200" i="13"/>
  <c r="GL200" i="13" s="1"/>
  <c r="GQ200" i="13"/>
  <c r="GO200" i="13"/>
  <c r="T207" i="21"/>
  <c r="S207" i="21" s="1"/>
  <c r="GK207" i="13"/>
  <c r="GL207" i="13" s="1"/>
  <c r="GQ207" i="13"/>
  <c r="GO207" i="13"/>
  <c r="T59" i="21"/>
  <c r="S59" i="21" s="1"/>
  <c r="GK59" i="13"/>
  <c r="GL59" i="13" s="1"/>
  <c r="GQ59" i="13"/>
  <c r="GO59" i="13"/>
  <c r="GK150" i="13"/>
  <c r="GL150" i="13" s="1"/>
  <c r="GQ150" i="13"/>
  <c r="T150" i="21"/>
  <c r="S150" i="21" s="1"/>
  <c r="GO150" i="13"/>
  <c r="GQ381" i="13"/>
  <c r="GK381" i="13"/>
  <c r="GL381" i="13" s="1"/>
  <c r="T381" i="21"/>
  <c r="S381" i="21" s="1"/>
  <c r="GO381" i="13"/>
  <c r="T125" i="21"/>
  <c r="S125" i="21" s="1"/>
  <c r="GK125" i="13"/>
  <c r="GL125" i="13" s="1"/>
  <c r="GQ125" i="13"/>
  <c r="GO125" i="13"/>
  <c r="GQ348" i="13"/>
  <c r="T348" i="21"/>
  <c r="S348" i="21" s="1"/>
  <c r="GK348" i="13"/>
  <c r="GL348" i="13" s="1"/>
  <c r="GO348" i="13"/>
  <c r="GK92" i="13"/>
  <c r="GL92" i="13" s="1"/>
  <c r="GQ92" i="13"/>
  <c r="T92" i="21"/>
  <c r="S92" i="21" s="1"/>
  <c r="GO92" i="13"/>
  <c r="GM336" i="13"/>
  <c r="GM297" i="13"/>
  <c r="GM44" i="13"/>
  <c r="T322" i="21"/>
  <c r="S322" i="21" s="1"/>
  <c r="GK322" i="13"/>
  <c r="GL322" i="13" s="1"/>
  <c r="GQ322" i="13"/>
  <c r="GO322" i="13"/>
  <c r="T66" i="21"/>
  <c r="S66" i="21" s="1"/>
  <c r="GK66" i="13"/>
  <c r="GL66" i="13" s="1"/>
  <c r="GQ66" i="13"/>
  <c r="GO66" i="13"/>
  <c r="T185" i="21"/>
  <c r="S185" i="21" s="1"/>
  <c r="GK185" i="13"/>
  <c r="GL185" i="13" s="1"/>
  <c r="GQ185" i="13"/>
  <c r="GO185" i="13"/>
  <c r="GK384" i="13"/>
  <c r="GL384" i="13" s="1"/>
  <c r="GQ384" i="13"/>
  <c r="T384" i="21"/>
  <c r="S384" i="21" s="1"/>
  <c r="GO384" i="13"/>
  <c r="T128" i="21"/>
  <c r="S128" i="21" s="1"/>
  <c r="GK128" i="13"/>
  <c r="GL128" i="13" s="1"/>
  <c r="GQ128" i="13"/>
  <c r="GO128" i="13"/>
  <c r="T135" i="21"/>
  <c r="S135" i="21" s="1"/>
  <c r="GK135" i="13"/>
  <c r="GL135" i="13" s="1"/>
  <c r="GQ135" i="13"/>
  <c r="GO135" i="13"/>
  <c r="T334" i="21"/>
  <c r="S334" i="21" s="1"/>
  <c r="GK334" i="13"/>
  <c r="GL334" i="13" s="1"/>
  <c r="GQ334" i="13"/>
  <c r="GO334" i="13"/>
  <c r="GK78" i="13"/>
  <c r="GL78" i="13" s="1"/>
  <c r="GQ78" i="13"/>
  <c r="T78" i="21"/>
  <c r="S78" i="21" s="1"/>
  <c r="GO78" i="13"/>
  <c r="T309" i="21"/>
  <c r="S309" i="21" s="1"/>
  <c r="GK309" i="13"/>
  <c r="GL309" i="13" s="1"/>
  <c r="GQ309" i="13"/>
  <c r="GO309" i="13"/>
  <c r="GK53" i="13"/>
  <c r="GL53" i="13" s="1"/>
  <c r="GQ53" i="13"/>
  <c r="T53" i="21"/>
  <c r="S53" i="21" s="1"/>
  <c r="GO53" i="13"/>
  <c r="GQ276" i="13"/>
  <c r="T276" i="21"/>
  <c r="S276" i="21" s="1"/>
  <c r="GK276" i="13"/>
  <c r="GL276" i="13" s="1"/>
  <c r="GO276" i="13"/>
  <c r="T283" i="21"/>
  <c r="S283" i="21" s="1"/>
  <c r="GK283" i="13"/>
  <c r="GL283" i="13" s="1"/>
  <c r="GQ283" i="13"/>
  <c r="GO283" i="13"/>
  <c r="GM57" i="13"/>
  <c r="GM240" i="13"/>
  <c r="GM348" i="13"/>
  <c r="GM101" i="13"/>
  <c r="GN96" i="13"/>
  <c r="GN180" i="13"/>
  <c r="GN52" i="13"/>
  <c r="GN272" i="13"/>
  <c r="GN238" i="13"/>
  <c r="GN339" i="13"/>
  <c r="GM232" i="13"/>
  <c r="GM95" i="13"/>
  <c r="GM222" i="13"/>
  <c r="GN77" i="13"/>
  <c r="GN40" i="13"/>
  <c r="GN337" i="13"/>
  <c r="GN28" i="13"/>
  <c r="GN67" i="13"/>
  <c r="GN104" i="13"/>
  <c r="GN108" i="13"/>
  <c r="GN99" i="13"/>
  <c r="T250" i="21"/>
  <c r="S250" i="21" s="1"/>
  <c r="GK250" i="13"/>
  <c r="GL250" i="13" s="1"/>
  <c r="GQ250" i="13"/>
  <c r="GO250" i="13"/>
  <c r="T369" i="21"/>
  <c r="S369" i="21" s="1"/>
  <c r="GK369" i="13"/>
  <c r="GL369" i="13" s="1"/>
  <c r="GQ369" i="13"/>
  <c r="GO369" i="13"/>
  <c r="T113" i="21"/>
  <c r="S113" i="21" s="1"/>
  <c r="GK113" i="13"/>
  <c r="GL113" i="13" s="1"/>
  <c r="GQ113" i="13"/>
  <c r="GO113" i="13"/>
  <c r="T312" i="21"/>
  <c r="S312" i="21" s="1"/>
  <c r="GK312" i="13"/>
  <c r="GL312" i="13" s="1"/>
  <c r="GQ312" i="13"/>
  <c r="GO312" i="13"/>
  <c r="GQ319" i="13"/>
  <c r="T319" i="21"/>
  <c r="S319" i="21" s="1"/>
  <c r="GK319" i="13"/>
  <c r="GL319" i="13" s="1"/>
  <c r="GO319" i="13"/>
  <c r="GK63" i="13"/>
  <c r="GL63" i="13" s="1"/>
  <c r="GQ63" i="13"/>
  <c r="T63" i="21"/>
  <c r="S63" i="21" s="1"/>
  <c r="GO63" i="13"/>
  <c r="GK262" i="13"/>
  <c r="GL262" i="13" s="1"/>
  <c r="GQ262" i="13"/>
  <c r="T262" i="21"/>
  <c r="S262" i="21" s="1"/>
  <c r="GO262" i="13"/>
  <c r="GK355" i="13"/>
  <c r="GL355" i="13" s="1"/>
  <c r="GQ355" i="13"/>
  <c r="T355" i="21"/>
  <c r="S355" i="21" s="1"/>
  <c r="GO355" i="13"/>
  <c r="T237" i="21"/>
  <c r="S237" i="21" s="1"/>
  <c r="GK237" i="13"/>
  <c r="GL237" i="13" s="1"/>
  <c r="GQ237" i="13"/>
  <c r="GO237" i="13"/>
  <c r="T251" i="21"/>
  <c r="S251" i="21" s="1"/>
  <c r="GK251" i="13"/>
  <c r="GL251" i="13" s="1"/>
  <c r="GQ251" i="13"/>
  <c r="GO251" i="13"/>
  <c r="GQ204" i="13"/>
  <c r="T204" i="21"/>
  <c r="S204" i="21" s="1"/>
  <c r="GK204" i="13"/>
  <c r="GL204" i="13" s="1"/>
  <c r="GO204" i="13"/>
  <c r="GM89" i="13"/>
  <c r="GN101" i="13"/>
  <c r="GN237" i="13"/>
  <c r="GN79" i="13"/>
  <c r="GN313" i="13"/>
  <c r="GN76" i="13"/>
  <c r="GN112" i="13"/>
  <c r="GM251" i="13"/>
  <c r="GM185" i="13"/>
  <c r="GM233" i="13"/>
  <c r="GM235" i="13"/>
  <c r="GM361" i="13"/>
  <c r="GN35" i="13"/>
  <c r="GM98" i="13"/>
  <c r="GN252" i="13"/>
  <c r="GN255" i="13"/>
  <c r="GN86" i="13"/>
  <c r="GN298" i="13"/>
  <c r="GN123" i="13"/>
  <c r="GN137" i="13"/>
  <c r="GN235" i="13"/>
  <c r="GN125" i="13"/>
  <c r="GN62" i="13"/>
  <c r="GN323" i="13"/>
  <c r="GN291" i="13"/>
  <c r="GQ182" i="13"/>
  <c r="T182" i="21"/>
  <c r="S182" i="21" s="1"/>
  <c r="GK182" i="13"/>
  <c r="GL182" i="13" s="1"/>
  <c r="GO182" i="13"/>
  <c r="GQ288" i="13"/>
  <c r="T288" i="21"/>
  <c r="S288" i="21" s="1"/>
  <c r="GK288" i="13"/>
  <c r="GL288" i="13" s="1"/>
  <c r="GO288" i="13"/>
  <c r="T179" i="21"/>
  <c r="S179" i="21" s="1"/>
  <c r="GQ179" i="13"/>
  <c r="GK179" i="13"/>
  <c r="GL179" i="13" s="1"/>
  <c r="GO179" i="13"/>
  <c r="T178" i="21"/>
  <c r="S178" i="21" s="1"/>
  <c r="GK178" i="13"/>
  <c r="GL178" i="13" s="1"/>
  <c r="GQ178" i="13"/>
  <c r="GO178" i="13"/>
  <c r="T41" i="21"/>
  <c r="S41" i="21" s="1"/>
  <c r="GK41" i="13"/>
  <c r="GL41" i="13" s="1"/>
  <c r="GQ41" i="13"/>
  <c r="GO41" i="13"/>
  <c r="GK247" i="13"/>
  <c r="GL247" i="13" s="1"/>
  <c r="GQ247" i="13"/>
  <c r="T247" i="21"/>
  <c r="S247" i="21" s="1"/>
  <c r="GO247" i="13"/>
  <c r="T190" i="21"/>
  <c r="S190" i="21" s="1"/>
  <c r="GK190" i="13"/>
  <c r="GL190" i="13" s="1"/>
  <c r="GQ190" i="13"/>
  <c r="GO190" i="13"/>
  <c r="T165" i="21"/>
  <c r="S165" i="21" s="1"/>
  <c r="GK165" i="13"/>
  <c r="GL165" i="13" s="1"/>
  <c r="GQ165" i="13"/>
  <c r="GO165" i="13"/>
  <c r="T132" i="21"/>
  <c r="S132" i="21" s="1"/>
  <c r="GK132" i="13"/>
  <c r="GL132" i="13" s="1"/>
  <c r="GQ132" i="13"/>
  <c r="GO132" i="13"/>
  <c r="GP370" i="13"/>
  <c r="GP114" i="13"/>
  <c r="GP80" i="13"/>
  <c r="GP183" i="13"/>
  <c r="GP382" i="13"/>
  <c r="GP126" i="13"/>
  <c r="GP324" i="13"/>
  <c r="GP68" i="13"/>
  <c r="GM165" i="13"/>
  <c r="T170" i="21"/>
  <c r="S170" i="21" s="1"/>
  <c r="GK170" i="13"/>
  <c r="GL170" i="13" s="1"/>
  <c r="GQ170" i="13"/>
  <c r="GO170" i="13"/>
  <c r="T289" i="21"/>
  <c r="S289" i="21" s="1"/>
  <c r="GK289" i="13"/>
  <c r="GL289" i="13" s="1"/>
  <c r="GQ289" i="13"/>
  <c r="GO289" i="13"/>
  <c r="T72" i="21"/>
  <c r="S72" i="21" s="1"/>
  <c r="GK72" i="13"/>
  <c r="GL72" i="13" s="1"/>
  <c r="GQ72" i="13"/>
  <c r="GO72" i="13"/>
  <c r="T168" i="21"/>
  <c r="S168" i="21" s="1"/>
  <c r="GK168" i="13"/>
  <c r="GL168" i="13" s="1"/>
  <c r="GQ168" i="13"/>
  <c r="GO168" i="13"/>
  <c r="GK175" i="13"/>
  <c r="GL175" i="13" s="1"/>
  <c r="GQ175" i="13"/>
  <c r="T175" i="21"/>
  <c r="S175" i="21" s="1"/>
  <c r="GO175" i="13"/>
  <c r="GQ374" i="13"/>
  <c r="T374" i="21"/>
  <c r="S374" i="21" s="1"/>
  <c r="GK374" i="13"/>
  <c r="GL374" i="13" s="1"/>
  <c r="GO374" i="13"/>
  <c r="GQ118" i="13"/>
  <c r="T118" i="21"/>
  <c r="S118" i="21" s="1"/>
  <c r="GK118" i="13"/>
  <c r="GL118" i="13" s="1"/>
  <c r="GO118" i="13"/>
  <c r="T349" i="21"/>
  <c r="S349" i="21" s="1"/>
  <c r="GK349" i="13"/>
  <c r="GL349" i="13" s="1"/>
  <c r="GQ349" i="13"/>
  <c r="GO349" i="13"/>
  <c r="T93" i="21"/>
  <c r="S93" i="21" s="1"/>
  <c r="GK93" i="13"/>
  <c r="GL93" i="13" s="1"/>
  <c r="GQ93" i="13"/>
  <c r="GO93" i="13"/>
  <c r="T316" i="21"/>
  <c r="S316" i="21" s="1"/>
  <c r="GK316" i="13"/>
  <c r="GL316" i="13" s="1"/>
  <c r="GQ316" i="13"/>
  <c r="GO316" i="13"/>
  <c r="T60" i="21"/>
  <c r="S60" i="21" s="1"/>
  <c r="GK60" i="13"/>
  <c r="GL60" i="13" s="1"/>
  <c r="GQ60" i="13"/>
  <c r="GO60" i="13"/>
  <c r="GM375" i="13"/>
  <c r="T162" i="21"/>
  <c r="S162" i="21" s="1"/>
  <c r="GK162" i="13"/>
  <c r="GL162" i="13" s="1"/>
  <c r="GQ162" i="13"/>
  <c r="GO162" i="13"/>
  <c r="GK281" i="13"/>
  <c r="GL281" i="13" s="1"/>
  <c r="GQ281" i="13"/>
  <c r="T281" i="21"/>
  <c r="S281" i="21" s="1"/>
  <c r="GO281" i="13"/>
  <c r="T224" i="21"/>
  <c r="S224" i="21" s="1"/>
  <c r="GK224" i="13"/>
  <c r="GL224" i="13" s="1"/>
  <c r="GQ224" i="13"/>
  <c r="GO224" i="13"/>
  <c r="GQ231" i="13"/>
  <c r="T231" i="21"/>
  <c r="S231" i="21" s="1"/>
  <c r="GK231" i="13"/>
  <c r="GL231" i="13" s="1"/>
  <c r="GO231" i="13"/>
  <c r="T139" i="21"/>
  <c r="S139" i="21" s="1"/>
  <c r="GK139" i="13"/>
  <c r="GL139" i="13" s="1"/>
  <c r="GQ139" i="13"/>
  <c r="GO139" i="13"/>
  <c r="T174" i="21"/>
  <c r="S174" i="21" s="1"/>
  <c r="GK174" i="13"/>
  <c r="GL174" i="13" s="1"/>
  <c r="GQ174" i="13"/>
  <c r="GO174" i="13"/>
  <c r="T75" i="21"/>
  <c r="S75" i="21" s="1"/>
  <c r="GQ75" i="13"/>
  <c r="GK75" i="13"/>
  <c r="GL75" i="13" s="1"/>
  <c r="GO75" i="13"/>
  <c r="T149" i="21"/>
  <c r="S149" i="21" s="1"/>
  <c r="GK149" i="13"/>
  <c r="GL149" i="13" s="1"/>
  <c r="GQ149" i="13"/>
  <c r="GO149" i="13"/>
  <c r="GQ372" i="13"/>
  <c r="T372" i="21"/>
  <c r="S372" i="21" s="1"/>
  <c r="GK372" i="13"/>
  <c r="GL372" i="13" s="1"/>
  <c r="GO372" i="13"/>
  <c r="GK116" i="13"/>
  <c r="GL116" i="13" s="1"/>
  <c r="GQ116" i="13"/>
  <c r="T116" i="21"/>
  <c r="S116" i="21" s="1"/>
  <c r="GO116" i="13"/>
  <c r="GM182" i="13"/>
  <c r="GP282" i="13"/>
  <c r="GP294" i="13"/>
  <c r="GP38" i="13"/>
  <c r="GP265" i="13"/>
  <c r="GP215" i="13"/>
  <c r="GP389" i="13"/>
  <c r="GM170" i="13"/>
  <c r="GM331" i="13"/>
  <c r="GP193" i="13"/>
  <c r="GM324" i="13"/>
  <c r="GM200" i="13"/>
  <c r="GP320" i="13"/>
  <c r="GP270" i="13"/>
  <c r="GM287" i="13"/>
  <c r="GM157" i="13"/>
  <c r="GN118" i="13"/>
  <c r="GN315" i="13"/>
  <c r="GN209" i="13"/>
  <c r="GN221" i="13"/>
  <c r="GN352" i="13"/>
  <c r="GM337" i="13"/>
  <c r="GM125" i="13"/>
  <c r="GN114" i="13"/>
  <c r="GN149" i="13"/>
  <c r="GN231" i="13"/>
  <c r="GN190" i="13"/>
  <c r="GN253" i="13"/>
  <c r="GN92" i="13"/>
  <c r="GN316" i="13"/>
  <c r="GN195" i="13"/>
  <c r="GN281" i="13"/>
  <c r="GP187" i="13"/>
  <c r="GN194" i="13"/>
  <c r="GM175" i="13"/>
  <c r="GM210" i="13"/>
  <c r="GM282" i="13"/>
  <c r="GM123" i="13"/>
  <c r="GM291" i="13"/>
  <c r="GN278" i="13"/>
  <c r="GN204" i="13"/>
  <c r="GM68" i="13"/>
  <c r="GN191" i="13"/>
  <c r="GN169" i="13"/>
  <c r="GN37" i="13"/>
  <c r="GN66" i="13"/>
  <c r="GN182" i="13"/>
  <c r="GM288" i="13"/>
  <c r="GN388" i="13"/>
  <c r="GN105" i="13"/>
  <c r="GN230" i="13"/>
  <c r="T97" i="21"/>
  <c r="S97" i="21" s="1"/>
  <c r="GK97" i="13"/>
  <c r="GL97" i="13" s="1"/>
  <c r="GQ97" i="13"/>
  <c r="GO97" i="13"/>
  <c r="T183" i="21"/>
  <c r="S183" i="21" s="1"/>
  <c r="GK183" i="13"/>
  <c r="GL183" i="13" s="1"/>
  <c r="GQ183" i="13"/>
  <c r="GO183" i="13"/>
  <c r="GQ26" i="13"/>
  <c r="T26" i="21"/>
  <c r="S26" i="21" s="1"/>
  <c r="GK26" i="13"/>
  <c r="GO26" i="13"/>
  <c r="T344" i="21"/>
  <c r="S344" i="21" s="1"/>
  <c r="GK344" i="13"/>
  <c r="GL344" i="13" s="1"/>
  <c r="GQ344" i="13"/>
  <c r="GO344" i="13"/>
  <c r="T95" i="21"/>
  <c r="S95" i="21" s="1"/>
  <c r="GK95" i="13"/>
  <c r="GL95" i="13" s="1"/>
  <c r="GQ95" i="13"/>
  <c r="GO95" i="13"/>
  <c r="T294" i="21"/>
  <c r="S294" i="21" s="1"/>
  <c r="GK294" i="13"/>
  <c r="GL294" i="13" s="1"/>
  <c r="GQ294" i="13"/>
  <c r="GO294" i="13"/>
  <c r="GK38" i="13"/>
  <c r="GL38" i="13" s="1"/>
  <c r="T38" i="21"/>
  <c r="S38" i="21" s="1"/>
  <c r="GQ38" i="13"/>
  <c r="GO38" i="13"/>
  <c r="GK269" i="13"/>
  <c r="GL269" i="13" s="1"/>
  <c r="GQ269" i="13"/>
  <c r="T269" i="21"/>
  <c r="S269" i="21" s="1"/>
  <c r="GO269" i="13"/>
  <c r="T347" i="21"/>
  <c r="S347" i="21" s="1"/>
  <c r="GK347" i="13"/>
  <c r="GL347" i="13" s="1"/>
  <c r="GQ347" i="13"/>
  <c r="GO347" i="13"/>
  <c r="T236" i="21"/>
  <c r="S236" i="21" s="1"/>
  <c r="GK236" i="13"/>
  <c r="GL236" i="13" s="1"/>
  <c r="GQ236" i="13"/>
  <c r="GO236" i="13"/>
  <c r="T67" i="21"/>
  <c r="S67" i="21" s="1"/>
  <c r="GQ67" i="13"/>
  <c r="GK67" i="13"/>
  <c r="GL67" i="13" s="1"/>
  <c r="GO67" i="13"/>
  <c r="GM260" i="13"/>
  <c r="T146" i="21"/>
  <c r="S146" i="21" s="1"/>
  <c r="GK146" i="13"/>
  <c r="GL146" i="13" s="1"/>
  <c r="GQ146" i="13"/>
  <c r="GO146" i="13"/>
  <c r="T265" i="21"/>
  <c r="S265" i="21" s="1"/>
  <c r="GK265" i="13"/>
  <c r="GL265" i="13" s="1"/>
  <c r="GQ265" i="13"/>
  <c r="GO265" i="13"/>
  <c r="GK112" i="13"/>
  <c r="GL112" i="13" s="1"/>
  <c r="GQ112" i="13"/>
  <c r="T112" i="21"/>
  <c r="S112" i="21" s="1"/>
  <c r="GO112" i="13"/>
  <c r="GQ208" i="13"/>
  <c r="T208" i="21"/>
  <c r="S208" i="21" s="1"/>
  <c r="GK208" i="13"/>
  <c r="GL208" i="13" s="1"/>
  <c r="GO208" i="13"/>
  <c r="T215" i="21"/>
  <c r="S215" i="21" s="1"/>
  <c r="GK215" i="13"/>
  <c r="GL215" i="13" s="1"/>
  <c r="GQ215" i="13"/>
  <c r="GO215" i="13"/>
  <c r="T91" i="21"/>
  <c r="S91" i="21" s="1"/>
  <c r="GK91" i="13"/>
  <c r="GL91" i="13" s="1"/>
  <c r="GQ91" i="13"/>
  <c r="GO91" i="13"/>
  <c r="GK158" i="13"/>
  <c r="GL158" i="13" s="1"/>
  <c r="GQ158" i="13"/>
  <c r="T158" i="21"/>
  <c r="S158" i="21" s="1"/>
  <c r="GO158" i="13"/>
  <c r="T389" i="21"/>
  <c r="S389" i="21" s="1"/>
  <c r="GK389" i="13"/>
  <c r="GL389" i="13" s="1"/>
  <c r="GQ389" i="13"/>
  <c r="GO389" i="13"/>
  <c r="T133" i="21"/>
  <c r="S133" i="21" s="1"/>
  <c r="GK133" i="13"/>
  <c r="GL133" i="13" s="1"/>
  <c r="GQ133" i="13"/>
  <c r="GO133" i="13"/>
  <c r="GK356" i="13"/>
  <c r="GL356" i="13" s="1"/>
  <c r="GQ356" i="13"/>
  <c r="T356" i="21"/>
  <c r="S356" i="21" s="1"/>
  <c r="GO356" i="13"/>
  <c r="T100" i="21"/>
  <c r="S100" i="21" s="1"/>
  <c r="GK100" i="13"/>
  <c r="GL100" i="13" s="1"/>
  <c r="GQ100" i="13"/>
  <c r="GO100" i="13"/>
  <c r="T330" i="21"/>
  <c r="S330" i="21" s="1"/>
  <c r="GK330" i="13"/>
  <c r="GL330" i="13" s="1"/>
  <c r="GQ330" i="13"/>
  <c r="GO330" i="13"/>
  <c r="T74" i="21"/>
  <c r="S74" i="21" s="1"/>
  <c r="GK74" i="13"/>
  <c r="GL74" i="13" s="1"/>
  <c r="GQ74" i="13"/>
  <c r="GO74" i="13"/>
  <c r="T193" i="21"/>
  <c r="S193" i="21" s="1"/>
  <c r="GK193" i="13"/>
  <c r="GL193" i="13" s="1"/>
  <c r="GQ193" i="13"/>
  <c r="GO193" i="13"/>
  <c r="T32" i="21"/>
  <c r="S32" i="21" s="1"/>
  <c r="GQ32" i="13"/>
  <c r="GK32" i="13"/>
  <c r="GO32" i="13"/>
  <c r="T136" i="21"/>
  <c r="S136" i="21" s="1"/>
  <c r="GK136" i="13"/>
  <c r="GL136" i="13" s="1"/>
  <c r="GQ136" i="13"/>
  <c r="GO136" i="13"/>
  <c r="T143" i="21"/>
  <c r="S143" i="21" s="1"/>
  <c r="GK143" i="13"/>
  <c r="GL143" i="13" s="1"/>
  <c r="GQ143" i="13"/>
  <c r="GO143" i="13"/>
  <c r="T342" i="21"/>
  <c r="S342" i="21" s="1"/>
  <c r="GK342" i="13"/>
  <c r="GL342" i="13" s="1"/>
  <c r="GQ342" i="13"/>
  <c r="GO342" i="13"/>
  <c r="GK86" i="13"/>
  <c r="GL86" i="13" s="1"/>
  <c r="GQ86" i="13"/>
  <c r="T86" i="21"/>
  <c r="S86" i="21" s="1"/>
  <c r="GO86" i="13"/>
  <c r="T317" i="21"/>
  <c r="S317" i="21" s="1"/>
  <c r="GK317" i="13"/>
  <c r="GL317" i="13" s="1"/>
  <c r="GQ317" i="13"/>
  <c r="GO317" i="13"/>
  <c r="T61" i="21"/>
  <c r="S61" i="21" s="1"/>
  <c r="GQ61" i="13"/>
  <c r="GK61" i="13"/>
  <c r="GL61" i="13" s="1"/>
  <c r="GO61" i="13"/>
  <c r="T284" i="21"/>
  <c r="S284" i="21" s="1"/>
  <c r="GK284" i="13"/>
  <c r="GL284" i="13" s="1"/>
  <c r="GQ284" i="13"/>
  <c r="GO284" i="13"/>
  <c r="GQ28" i="13"/>
  <c r="T28" i="21"/>
  <c r="S28" i="21" s="1"/>
  <c r="GK28" i="13"/>
  <c r="GO28" i="13"/>
  <c r="GM306" i="13"/>
  <c r="GM155" i="13"/>
  <c r="T258" i="21"/>
  <c r="S258" i="21" s="1"/>
  <c r="GK258" i="13"/>
  <c r="GL258" i="13" s="1"/>
  <c r="GQ258" i="13"/>
  <c r="GO258" i="13"/>
  <c r="T377" i="21"/>
  <c r="S377" i="21" s="1"/>
  <c r="GK377" i="13"/>
  <c r="GL377" i="13" s="1"/>
  <c r="GQ377" i="13"/>
  <c r="GO377" i="13"/>
  <c r="GK121" i="13"/>
  <c r="GL121" i="13" s="1"/>
  <c r="T121" i="21"/>
  <c r="S121" i="21" s="1"/>
  <c r="GQ121" i="13"/>
  <c r="GO121" i="13"/>
  <c r="GQ320" i="13"/>
  <c r="T320" i="21"/>
  <c r="S320" i="21" s="1"/>
  <c r="GK320" i="13"/>
  <c r="GL320" i="13" s="1"/>
  <c r="GO320" i="13"/>
  <c r="T327" i="21"/>
  <c r="S327" i="21" s="1"/>
  <c r="GK327" i="13"/>
  <c r="GL327" i="13" s="1"/>
  <c r="GQ327" i="13"/>
  <c r="GO327" i="13"/>
  <c r="T71" i="21"/>
  <c r="S71" i="21" s="1"/>
  <c r="GK71" i="13"/>
  <c r="GL71" i="13" s="1"/>
  <c r="GQ71" i="13"/>
  <c r="GO71" i="13"/>
  <c r="T270" i="21"/>
  <c r="S270" i="21" s="1"/>
  <c r="GK270" i="13"/>
  <c r="GL270" i="13" s="1"/>
  <c r="GQ270" i="13"/>
  <c r="GO270" i="13"/>
  <c r="GK371" i="13"/>
  <c r="GL371" i="13" s="1"/>
  <c r="GQ371" i="13"/>
  <c r="T371" i="21"/>
  <c r="S371" i="21" s="1"/>
  <c r="GO371" i="13"/>
  <c r="T245" i="21"/>
  <c r="S245" i="21" s="1"/>
  <c r="GK245" i="13"/>
  <c r="GL245" i="13" s="1"/>
  <c r="GQ245" i="13"/>
  <c r="GO245" i="13"/>
  <c r="T275" i="21"/>
  <c r="S275" i="21" s="1"/>
  <c r="GK275" i="13"/>
  <c r="GL275" i="13" s="1"/>
  <c r="GQ275" i="13"/>
  <c r="GO275" i="13"/>
  <c r="T212" i="21"/>
  <c r="S212" i="21" s="1"/>
  <c r="GK212" i="13"/>
  <c r="GL212" i="13" s="1"/>
  <c r="GQ212" i="13"/>
  <c r="GO212" i="13"/>
  <c r="GM344" i="13"/>
  <c r="GM231" i="13"/>
  <c r="GN292" i="13"/>
  <c r="GN229" i="13"/>
  <c r="GN93" i="13"/>
  <c r="GN377" i="13"/>
  <c r="GN41" i="13"/>
  <c r="GN375" i="13"/>
  <c r="GN336" i="13"/>
  <c r="GM323" i="13"/>
  <c r="GM129" i="13"/>
  <c r="GN30" i="13"/>
  <c r="GN100" i="13"/>
  <c r="GN78" i="13"/>
  <c r="GN80" i="13"/>
  <c r="GN288" i="13"/>
  <c r="GN276" i="13"/>
  <c r="GN372" i="13"/>
  <c r="GN60" i="13"/>
  <c r="GN368" i="13"/>
  <c r="GN371" i="13"/>
  <c r="GN242" i="13"/>
  <c r="GK186" i="13"/>
  <c r="GL186" i="13" s="1"/>
  <c r="GQ186" i="13"/>
  <c r="T186" i="21"/>
  <c r="S186" i="21" s="1"/>
  <c r="GO186" i="13"/>
  <c r="T305" i="21"/>
  <c r="S305" i="21" s="1"/>
  <c r="GK305" i="13"/>
  <c r="GL305" i="13" s="1"/>
  <c r="GQ305" i="13"/>
  <c r="GO305" i="13"/>
  <c r="T49" i="21"/>
  <c r="S49" i="21" s="1"/>
  <c r="GK49" i="13"/>
  <c r="GL49" i="13" s="1"/>
  <c r="GQ49" i="13"/>
  <c r="GO49" i="13"/>
  <c r="T248" i="21"/>
  <c r="S248" i="21" s="1"/>
  <c r="GK248" i="13"/>
  <c r="GL248" i="13" s="1"/>
  <c r="GQ248" i="13"/>
  <c r="GO248" i="13"/>
  <c r="T255" i="21"/>
  <c r="S255" i="21" s="1"/>
  <c r="GK255" i="13"/>
  <c r="GL255" i="13" s="1"/>
  <c r="GQ255" i="13"/>
  <c r="GO255" i="13"/>
  <c r="GQ235" i="13"/>
  <c r="T235" i="21"/>
  <c r="S235" i="21" s="1"/>
  <c r="GK235" i="13"/>
  <c r="GL235" i="13" s="1"/>
  <c r="GO235" i="13"/>
  <c r="T198" i="21"/>
  <c r="S198" i="21" s="1"/>
  <c r="GK198" i="13"/>
  <c r="GL198" i="13" s="1"/>
  <c r="GQ198" i="13"/>
  <c r="GO198" i="13"/>
  <c r="T187" i="21"/>
  <c r="S187" i="21" s="1"/>
  <c r="GK187" i="13"/>
  <c r="GL187" i="13" s="1"/>
  <c r="GQ187" i="13"/>
  <c r="GO187" i="13"/>
  <c r="T173" i="21"/>
  <c r="S173" i="21" s="1"/>
  <c r="GK173" i="13"/>
  <c r="GL173" i="13" s="1"/>
  <c r="GQ173" i="13"/>
  <c r="GO173" i="13"/>
  <c r="GQ35" i="13"/>
  <c r="GK35" i="13"/>
  <c r="GL35" i="13" s="1"/>
  <c r="T35" i="21"/>
  <c r="S35" i="21" s="1"/>
  <c r="GO35" i="13"/>
  <c r="GK140" i="13"/>
  <c r="GL140" i="13" s="1"/>
  <c r="GQ140" i="13"/>
  <c r="T140" i="21"/>
  <c r="S140" i="21" s="1"/>
  <c r="GO140" i="13"/>
  <c r="GN267" i="13"/>
  <c r="GN181" i="13"/>
  <c r="GN350" i="13"/>
  <c r="GN379" i="13"/>
  <c r="GM342" i="13"/>
  <c r="GM59" i="13"/>
  <c r="GM28" i="13"/>
  <c r="GM390" i="13"/>
  <c r="GM108" i="13"/>
  <c r="GN329" i="13"/>
  <c r="GM204" i="13"/>
  <c r="GN335" i="13"/>
  <c r="GN57" i="13"/>
  <c r="GM102" i="13"/>
  <c r="GN259" i="13"/>
  <c r="GN147" i="13"/>
  <c r="GN369" i="13"/>
  <c r="GN279" i="13"/>
  <c r="GN198" i="13"/>
  <c r="GN266" i="13"/>
  <c r="GN36" i="13"/>
  <c r="GK353" i="13"/>
  <c r="GL353" i="13" s="1"/>
  <c r="GQ353" i="13"/>
  <c r="T353" i="21"/>
  <c r="S353" i="21" s="1"/>
  <c r="GO353" i="13"/>
  <c r="T380" i="21"/>
  <c r="S380" i="21" s="1"/>
  <c r="GK380" i="13"/>
  <c r="GL380" i="13" s="1"/>
  <c r="GQ380" i="13"/>
  <c r="GO380" i="13"/>
  <c r="T345" i="21"/>
  <c r="S345" i="21" s="1"/>
  <c r="GK345" i="13"/>
  <c r="GL345" i="13" s="1"/>
  <c r="GQ345" i="13"/>
  <c r="GO345" i="13"/>
  <c r="T213" i="21"/>
  <c r="S213" i="21" s="1"/>
  <c r="GK213" i="13"/>
  <c r="GL213" i="13" s="1"/>
  <c r="GQ213" i="13"/>
  <c r="GO213" i="13"/>
  <c r="GQ370" i="13"/>
  <c r="T370" i="21"/>
  <c r="S370" i="21" s="1"/>
  <c r="GK370" i="13"/>
  <c r="GL370" i="13" s="1"/>
  <c r="GO370" i="13"/>
  <c r="T176" i="21"/>
  <c r="S176" i="21" s="1"/>
  <c r="GK176" i="13"/>
  <c r="GL176" i="13" s="1"/>
  <c r="GQ176" i="13"/>
  <c r="GO176" i="13"/>
  <c r="T357" i="21"/>
  <c r="S357" i="21" s="1"/>
  <c r="GQ357" i="13"/>
  <c r="GK357" i="13"/>
  <c r="GL357" i="13" s="1"/>
  <c r="GO357" i="13"/>
  <c r="T282" i="21"/>
  <c r="S282" i="21" s="1"/>
  <c r="GK282" i="13"/>
  <c r="GL282" i="13" s="1"/>
  <c r="GQ282" i="13"/>
  <c r="GO282" i="13"/>
  <c r="T145" i="21"/>
  <c r="S145" i="21" s="1"/>
  <c r="GK145" i="13"/>
  <c r="GL145" i="13" s="1"/>
  <c r="GQ145" i="13"/>
  <c r="GO145" i="13"/>
  <c r="T351" i="21"/>
  <c r="S351" i="21" s="1"/>
  <c r="GK351" i="13"/>
  <c r="GL351" i="13" s="1"/>
  <c r="GQ351" i="13"/>
  <c r="GO351" i="13"/>
  <c r="GM145" i="13"/>
  <c r="GP169" i="13"/>
  <c r="GP119" i="13"/>
  <c r="GP318" i="13"/>
  <c r="GP163" i="13"/>
  <c r="T362" i="21"/>
  <c r="S362" i="21" s="1"/>
  <c r="GK362" i="13"/>
  <c r="GL362" i="13" s="1"/>
  <c r="GQ362" i="13"/>
  <c r="GO362" i="13"/>
  <c r="T106" i="21"/>
  <c r="S106" i="21" s="1"/>
  <c r="GK106" i="13"/>
  <c r="GL106" i="13" s="1"/>
  <c r="GQ106" i="13"/>
  <c r="GO106" i="13"/>
  <c r="T225" i="21"/>
  <c r="S225" i="21" s="1"/>
  <c r="GK225" i="13"/>
  <c r="GL225" i="13" s="1"/>
  <c r="GQ225" i="13"/>
  <c r="GO225" i="13"/>
  <c r="GK360" i="13"/>
  <c r="GL360" i="13" s="1"/>
  <c r="GQ360" i="13"/>
  <c r="T360" i="21"/>
  <c r="S360" i="21" s="1"/>
  <c r="GO360" i="13"/>
  <c r="T367" i="21"/>
  <c r="S367" i="21" s="1"/>
  <c r="GK367" i="13"/>
  <c r="GL367" i="13" s="1"/>
  <c r="GQ367" i="13"/>
  <c r="GO367" i="13"/>
  <c r="T111" i="21"/>
  <c r="S111" i="21" s="1"/>
  <c r="GK111" i="13"/>
  <c r="GL111" i="13" s="1"/>
  <c r="GQ111" i="13"/>
  <c r="GO111" i="13"/>
  <c r="T310" i="21"/>
  <c r="S310" i="21" s="1"/>
  <c r="GK310" i="13"/>
  <c r="GL310" i="13" s="1"/>
  <c r="GQ310" i="13"/>
  <c r="GO310" i="13"/>
  <c r="GQ54" i="13"/>
  <c r="T54" i="21"/>
  <c r="S54" i="21" s="1"/>
  <c r="GK54" i="13"/>
  <c r="GL54" i="13" s="1"/>
  <c r="GO54" i="13"/>
  <c r="T285" i="21"/>
  <c r="S285" i="21" s="1"/>
  <c r="GK285" i="13"/>
  <c r="GL285" i="13" s="1"/>
  <c r="GQ285" i="13"/>
  <c r="GO285" i="13"/>
  <c r="GQ29" i="13"/>
  <c r="GK29" i="13"/>
  <c r="T29" i="21"/>
  <c r="S29" i="21" s="1"/>
  <c r="GO29" i="13"/>
  <c r="T252" i="21"/>
  <c r="S252" i="21" s="1"/>
  <c r="GK252" i="13"/>
  <c r="GL252" i="13" s="1"/>
  <c r="GQ252" i="13"/>
  <c r="GO252" i="13"/>
  <c r="GK131" i="13"/>
  <c r="GL131" i="13" s="1"/>
  <c r="GQ131" i="13"/>
  <c r="T131" i="21"/>
  <c r="S131" i="21" s="1"/>
  <c r="GO131" i="13"/>
  <c r="T354" i="21"/>
  <c r="S354" i="21" s="1"/>
  <c r="GK354" i="13"/>
  <c r="GL354" i="13" s="1"/>
  <c r="GQ354" i="13"/>
  <c r="GO354" i="13"/>
  <c r="GQ98" i="13"/>
  <c r="T98" i="21"/>
  <c r="S98" i="21" s="1"/>
  <c r="GK98" i="13"/>
  <c r="GL98" i="13" s="1"/>
  <c r="GO98" i="13"/>
  <c r="GQ217" i="13"/>
  <c r="T217" i="21"/>
  <c r="S217" i="21" s="1"/>
  <c r="GK217" i="13"/>
  <c r="GL217" i="13" s="1"/>
  <c r="GO217" i="13"/>
  <c r="T64" i="21"/>
  <c r="S64" i="21" s="1"/>
  <c r="GK64" i="13"/>
  <c r="GL64" i="13" s="1"/>
  <c r="GQ64" i="13"/>
  <c r="GO64" i="13"/>
  <c r="GQ160" i="13"/>
  <c r="T160" i="21"/>
  <c r="S160" i="21" s="1"/>
  <c r="GK160" i="13"/>
  <c r="GL160" i="13" s="1"/>
  <c r="GO160" i="13"/>
  <c r="GQ167" i="13"/>
  <c r="T167" i="21"/>
  <c r="S167" i="21" s="1"/>
  <c r="GK167" i="13"/>
  <c r="GL167" i="13" s="1"/>
  <c r="GO167" i="13"/>
  <c r="GQ366" i="13"/>
  <c r="T366" i="21"/>
  <c r="S366" i="21" s="1"/>
  <c r="GK366" i="13"/>
  <c r="GL366" i="13" s="1"/>
  <c r="GO366" i="13"/>
  <c r="GQ110" i="13"/>
  <c r="T110" i="21"/>
  <c r="S110" i="21" s="1"/>
  <c r="GK110" i="13"/>
  <c r="GL110" i="13" s="1"/>
  <c r="GO110" i="13"/>
  <c r="GQ341" i="13"/>
  <c r="T341" i="21"/>
  <c r="S341" i="21" s="1"/>
  <c r="GK341" i="13"/>
  <c r="GL341" i="13" s="1"/>
  <c r="GO341" i="13"/>
  <c r="T85" i="21"/>
  <c r="S85" i="21" s="1"/>
  <c r="GK85" i="13"/>
  <c r="GL85" i="13" s="1"/>
  <c r="GQ85" i="13"/>
  <c r="GO85" i="13"/>
  <c r="T308" i="21"/>
  <c r="S308" i="21" s="1"/>
  <c r="GK308" i="13"/>
  <c r="GL308" i="13" s="1"/>
  <c r="GQ308" i="13"/>
  <c r="GO308" i="13"/>
  <c r="T52" i="21"/>
  <c r="S52" i="21" s="1"/>
  <c r="GK52" i="13"/>
  <c r="GL52" i="13" s="1"/>
  <c r="GQ52" i="13"/>
  <c r="GO52" i="13"/>
  <c r="GM320" i="13"/>
  <c r="GM247" i="13"/>
  <c r="GM107" i="13"/>
  <c r="GP81" i="13"/>
  <c r="GP205" i="13"/>
  <c r="GM302" i="13"/>
  <c r="GM265" i="13"/>
  <c r="GM229" i="13"/>
  <c r="GP82" i="13"/>
  <c r="GP48" i="13"/>
  <c r="GP144" i="13"/>
  <c r="GP350" i="13"/>
  <c r="GM179" i="13"/>
  <c r="GM85" i="13"/>
  <c r="GP385" i="13"/>
  <c r="GP129" i="13"/>
  <c r="GP328" i="13"/>
  <c r="GP220" i="13"/>
  <c r="GM318" i="13"/>
  <c r="GM245" i="13"/>
  <c r="GM53" i="13"/>
  <c r="GM100" i="13"/>
  <c r="GP256" i="13"/>
  <c r="GM97" i="13"/>
  <c r="GM371" i="13"/>
  <c r="GM380" i="13"/>
  <c r="GN228" i="13"/>
  <c r="GN346" i="13"/>
  <c r="GN71" i="13"/>
  <c r="GM286" i="13"/>
  <c r="GM141" i="13"/>
  <c r="GN353" i="13"/>
  <c r="GN348" i="13"/>
  <c r="GN374" i="13"/>
  <c r="GM162" i="13"/>
  <c r="GN333" i="13"/>
  <c r="GN212" i="13"/>
  <c r="GN285" i="13"/>
  <c r="GN121" i="13"/>
  <c r="GN128" i="13"/>
  <c r="GN154" i="13"/>
  <c r="GN166" i="13"/>
  <c r="GN26" i="13"/>
  <c r="GM26" i="13"/>
  <c r="GM217" i="13"/>
  <c r="GM115" i="13"/>
  <c r="GM248" i="13"/>
  <c r="GN286" i="13"/>
  <c r="GM330" i="13"/>
  <c r="GN304" i="13"/>
  <c r="GN367" i="13"/>
  <c r="GN356" i="13"/>
  <c r="GN95" i="13"/>
  <c r="GN90" i="13"/>
  <c r="GN207" i="13"/>
  <c r="GN213" i="13"/>
  <c r="GN150" i="13"/>
  <c r="GN132" i="13"/>
  <c r="GN219" i="13"/>
  <c r="GN120" i="13"/>
  <c r="T239" i="21"/>
  <c r="S239" i="21" s="1"/>
  <c r="GK239" i="13"/>
  <c r="GL239" i="13" s="1"/>
  <c r="GQ239" i="13"/>
  <c r="GO239" i="13"/>
  <c r="T124" i="21"/>
  <c r="S124" i="21" s="1"/>
  <c r="GK124" i="13"/>
  <c r="GL124" i="13" s="1"/>
  <c r="GQ124" i="13"/>
  <c r="GO124" i="13"/>
  <c r="GK39" i="13"/>
  <c r="GL39" i="13" s="1"/>
  <c r="T39" i="21"/>
  <c r="S39" i="21" s="1"/>
  <c r="GQ39" i="13"/>
  <c r="GO39" i="13"/>
  <c r="T114" i="21"/>
  <c r="S114" i="21" s="1"/>
  <c r="GK114" i="13"/>
  <c r="GL114" i="13" s="1"/>
  <c r="GQ114" i="13"/>
  <c r="GO114" i="13"/>
  <c r="T126" i="21"/>
  <c r="S126" i="21" s="1"/>
  <c r="GK126" i="13"/>
  <c r="GL126" i="13" s="1"/>
  <c r="GQ126" i="13"/>
  <c r="GO126" i="13"/>
  <c r="T68" i="21"/>
  <c r="S68" i="21" s="1"/>
  <c r="GK68" i="13"/>
  <c r="GL68" i="13" s="1"/>
  <c r="GQ68" i="13"/>
  <c r="GO68" i="13"/>
  <c r="GK50" i="13"/>
  <c r="GL50" i="13" s="1"/>
  <c r="GQ50" i="13"/>
  <c r="T50" i="21"/>
  <c r="S50" i="21" s="1"/>
  <c r="GO50" i="13"/>
  <c r="GQ375" i="13"/>
  <c r="T375" i="21"/>
  <c r="S375" i="21" s="1"/>
  <c r="GK375" i="13"/>
  <c r="GL375" i="13" s="1"/>
  <c r="GO375" i="13"/>
  <c r="T62" i="21"/>
  <c r="S62" i="21" s="1"/>
  <c r="GK62" i="13"/>
  <c r="GL62" i="13" s="1"/>
  <c r="GQ62" i="13"/>
  <c r="GO62" i="13"/>
  <c r="T163" i="21"/>
  <c r="S163" i="21" s="1"/>
  <c r="GK163" i="13"/>
  <c r="GL163" i="13" s="1"/>
  <c r="GQ163" i="13"/>
  <c r="GO163" i="13"/>
  <c r="GM41" i="13"/>
  <c r="T218" i="21"/>
  <c r="S218" i="21" s="1"/>
  <c r="GK218" i="13"/>
  <c r="GL218" i="13" s="1"/>
  <c r="GQ218" i="13"/>
  <c r="GO218" i="13"/>
  <c r="T337" i="21"/>
  <c r="S337" i="21" s="1"/>
  <c r="GK337" i="13"/>
  <c r="GL337" i="13" s="1"/>
  <c r="GQ337" i="13"/>
  <c r="GO337" i="13"/>
  <c r="T81" i="21"/>
  <c r="S81" i="21" s="1"/>
  <c r="GK81" i="13"/>
  <c r="GL81" i="13" s="1"/>
  <c r="GQ81" i="13"/>
  <c r="GO81" i="13"/>
  <c r="GK280" i="13"/>
  <c r="GL280" i="13" s="1"/>
  <c r="GQ280" i="13"/>
  <c r="T280" i="21"/>
  <c r="S280" i="21" s="1"/>
  <c r="GO280" i="13"/>
  <c r="T287" i="21"/>
  <c r="S287" i="21" s="1"/>
  <c r="GQ287" i="13"/>
  <c r="GK287" i="13"/>
  <c r="GL287" i="13" s="1"/>
  <c r="GO287" i="13"/>
  <c r="GQ31" i="13"/>
  <c r="T31" i="21"/>
  <c r="S31" i="21" s="1"/>
  <c r="GK31" i="13"/>
  <c r="GO31" i="13"/>
  <c r="T230" i="21"/>
  <c r="S230" i="21" s="1"/>
  <c r="GK230" i="13"/>
  <c r="GL230" i="13" s="1"/>
  <c r="GQ230" i="13"/>
  <c r="GO230" i="13"/>
  <c r="GK291" i="13"/>
  <c r="GL291" i="13" s="1"/>
  <c r="GQ291" i="13"/>
  <c r="T291" i="21"/>
  <c r="S291" i="21" s="1"/>
  <c r="GO291" i="13"/>
  <c r="T205" i="21"/>
  <c r="S205" i="21" s="1"/>
  <c r="GQ205" i="13"/>
  <c r="GK205" i="13"/>
  <c r="GL205" i="13" s="1"/>
  <c r="GO205" i="13"/>
  <c r="T147" i="21"/>
  <c r="S147" i="21" s="1"/>
  <c r="GQ147" i="13"/>
  <c r="GK147" i="13"/>
  <c r="GL147" i="13" s="1"/>
  <c r="GO147" i="13"/>
  <c r="GQ172" i="13"/>
  <c r="T172" i="21"/>
  <c r="S172" i="21" s="1"/>
  <c r="GK172" i="13"/>
  <c r="GL172" i="13" s="1"/>
  <c r="GO172" i="13"/>
  <c r="GM168" i="13"/>
  <c r="GM112" i="13"/>
  <c r="T338" i="21"/>
  <c r="S338" i="21" s="1"/>
  <c r="GK338" i="13"/>
  <c r="GL338" i="13" s="1"/>
  <c r="GQ338" i="13"/>
  <c r="GO338" i="13"/>
  <c r="T82" i="21"/>
  <c r="S82" i="21" s="1"/>
  <c r="GK82" i="13"/>
  <c r="GL82" i="13" s="1"/>
  <c r="GQ82" i="13"/>
  <c r="GO82" i="13"/>
  <c r="T201" i="21"/>
  <c r="S201" i="21" s="1"/>
  <c r="GK201" i="13"/>
  <c r="GL201" i="13" s="1"/>
  <c r="GQ201" i="13"/>
  <c r="GO201" i="13"/>
  <c r="T48" i="21"/>
  <c r="S48" i="21" s="1"/>
  <c r="GK48" i="13"/>
  <c r="GL48" i="13" s="1"/>
  <c r="GQ48" i="13"/>
  <c r="GO48" i="13"/>
  <c r="GQ144" i="13"/>
  <c r="T144" i="21"/>
  <c r="S144" i="21" s="1"/>
  <c r="GK144" i="13"/>
  <c r="GL144" i="13" s="1"/>
  <c r="GO144" i="13"/>
  <c r="T151" i="21"/>
  <c r="S151" i="21" s="1"/>
  <c r="GK151" i="13"/>
  <c r="GL151" i="13" s="1"/>
  <c r="GQ151" i="13"/>
  <c r="GO151" i="13"/>
  <c r="T350" i="21"/>
  <c r="S350" i="21" s="1"/>
  <c r="GK350" i="13"/>
  <c r="GL350" i="13" s="1"/>
  <c r="GQ350" i="13"/>
  <c r="GO350" i="13"/>
  <c r="GQ94" i="13"/>
  <c r="T94" i="21"/>
  <c r="S94" i="21" s="1"/>
  <c r="GK94" i="13"/>
  <c r="GL94" i="13" s="1"/>
  <c r="GO94" i="13"/>
  <c r="GQ325" i="13"/>
  <c r="T325" i="21"/>
  <c r="S325" i="21" s="1"/>
  <c r="GK325" i="13"/>
  <c r="GL325" i="13" s="1"/>
  <c r="GO325" i="13"/>
  <c r="GQ69" i="13"/>
  <c r="GK69" i="13"/>
  <c r="GL69" i="13" s="1"/>
  <c r="T69" i="21"/>
  <c r="S69" i="21" s="1"/>
  <c r="GO69" i="13"/>
  <c r="GQ292" i="13"/>
  <c r="T292" i="21"/>
  <c r="S292" i="21" s="1"/>
  <c r="GK292" i="13"/>
  <c r="GL292" i="13" s="1"/>
  <c r="GO292" i="13"/>
  <c r="GQ36" i="13"/>
  <c r="GK36" i="13"/>
  <c r="GL36" i="13" s="1"/>
  <c r="T36" i="21"/>
  <c r="S36" i="21" s="1"/>
  <c r="GO36" i="13"/>
  <c r="GM294" i="13"/>
  <c r="GK266" i="13"/>
  <c r="GL266" i="13" s="1"/>
  <c r="T266" i="21"/>
  <c r="S266" i="21" s="1"/>
  <c r="GQ266" i="13"/>
  <c r="GO266" i="13"/>
  <c r="GK385" i="13"/>
  <c r="GL385" i="13" s="1"/>
  <c r="GQ385" i="13"/>
  <c r="T385" i="21"/>
  <c r="S385" i="21" s="1"/>
  <c r="GO385" i="13"/>
  <c r="T129" i="21"/>
  <c r="S129" i="21" s="1"/>
  <c r="GK129" i="13"/>
  <c r="GL129" i="13" s="1"/>
  <c r="GQ129" i="13"/>
  <c r="GO129" i="13"/>
  <c r="T328" i="21"/>
  <c r="S328" i="21" s="1"/>
  <c r="GK328" i="13"/>
  <c r="GL328" i="13" s="1"/>
  <c r="GQ328" i="13"/>
  <c r="GO328" i="13"/>
  <c r="T335" i="21"/>
  <c r="S335" i="21" s="1"/>
  <c r="GK335" i="13"/>
  <c r="GL335" i="13" s="1"/>
  <c r="GQ335" i="13"/>
  <c r="GO335" i="13"/>
  <c r="T79" i="21"/>
  <c r="S79" i="21" s="1"/>
  <c r="GK79" i="13"/>
  <c r="GL79" i="13" s="1"/>
  <c r="GQ79" i="13"/>
  <c r="GO79" i="13"/>
  <c r="GQ278" i="13"/>
  <c r="T278" i="21"/>
  <c r="S278" i="21" s="1"/>
  <c r="GK278" i="13"/>
  <c r="GL278" i="13" s="1"/>
  <c r="GO278" i="13"/>
  <c r="T387" i="21"/>
  <c r="S387" i="21" s="1"/>
  <c r="GQ387" i="13"/>
  <c r="GK387" i="13"/>
  <c r="GL387" i="13" s="1"/>
  <c r="GO387" i="13"/>
  <c r="T253" i="21"/>
  <c r="S253" i="21" s="1"/>
  <c r="GK253" i="13"/>
  <c r="GL253" i="13" s="1"/>
  <c r="GQ253" i="13"/>
  <c r="GO253" i="13"/>
  <c r="GQ307" i="13"/>
  <c r="T307" i="21"/>
  <c r="S307" i="21" s="1"/>
  <c r="GK307" i="13"/>
  <c r="GL307" i="13" s="1"/>
  <c r="GO307" i="13"/>
  <c r="T220" i="21"/>
  <c r="S220" i="21" s="1"/>
  <c r="GQ220" i="13"/>
  <c r="GK220" i="13"/>
  <c r="GL220" i="13" s="1"/>
  <c r="GO220" i="13"/>
  <c r="GM212" i="13"/>
  <c r="GM132" i="13"/>
  <c r="GM105" i="13"/>
  <c r="GM78" i="13"/>
  <c r="GQ194" i="13"/>
  <c r="T194" i="21"/>
  <c r="S194" i="21" s="1"/>
  <c r="GK194" i="13"/>
  <c r="GL194" i="13" s="1"/>
  <c r="GO194" i="13"/>
  <c r="T313" i="21"/>
  <c r="S313" i="21" s="1"/>
  <c r="GK313" i="13"/>
  <c r="GL313" i="13" s="1"/>
  <c r="GQ313" i="13"/>
  <c r="GO313" i="13"/>
  <c r="T57" i="21"/>
  <c r="S57" i="21" s="1"/>
  <c r="GK57" i="13"/>
  <c r="GL57" i="13" s="1"/>
  <c r="GQ57" i="13"/>
  <c r="GO57" i="13"/>
  <c r="T256" i="21"/>
  <c r="S256" i="21" s="1"/>
  <c r="GK256" i="13"/>
  <c r="GL256" i="13" s="1"/>
  <c r="GQ256" i="13"/>
  <c r="GO256" i="13"/>
  <c r="GK263" i="13"/>
  <c r="GL263" i="13" s="1"/>
  <c r="GQ263" i="13"/>
  <c r="T263" i="21"/>
  <c r="S263" i="21" s="1"/>
  <c r="GO263" i="13"/>
  <c r="T259" i="21"/>
  <c r="S259" i="21" s="1"/>
  <c r="GK259" i="13"/>
  <c r="GL259" i="13" s="1"/>
  <c r="GQ259" i="13"/>
  <c r="GO259" i="13"/>
  <c r="GQ206" i="13"/>
  <c r="T206" i="21"/>
  <c r="S206" i="21" s="1"/>
  <c r="GK206" i="13"/>
  <c r="GL206" i="13" s="1"/>
  <c r="GO206" i="13"/>
  <c r="T211" i="21"/>
  <c r="S211" i="21" s="1"/>
  <c r="GK211" i="13"/>
  <c r="GL211" i="13" s="1"/>
  <c r="GQ211" i="13"/>
  <c r="GO211" i="13"/>
  <c r="T181" i="21"/>
  <c r="S181" i="21" s="1"/>
  <c r="GK181" i="13"/>
  <c r="GL181" i="13" s="1"/>
  <c r="GQ181" i="13"/>
  <c r="GO181" i="13"/>
  <c r="GK51" i="13"/>
  <c r="GL51" i="13" s="1"/>
  <c r="GQ51" i="13"/>
  <c r="T51" i="21"/>
  <c r="S51" i="21" s="1"/>
  <c r="GO51" i="13"/>
  <c r="GK148" i="13"/>
  <c r="GL148" i="13" s="1"/>
  <c r="GQ148" i="13"/>
  <c r="T148" i="21"/>
  <c r="S148" i="21" s="1"/>
  <c r="GO148" i="13"/>
  <c r="GM349" i="13"/>
  <c r="GM316" i="13"/>
  <c r="GM197" i="13"/>
  <c r="GM196" i="13"/>
  <c r="GN59" i="13"/>
  <c r="GN82" i="13"/>
  <c r="GN174" i="13"/>
  <c r="GN141" i="13"/>
  <c r="GN94" i="13"/>
  <c r="GN73" i="13"/>
  <c r="GN176" i="13"/>
  <c r="GN330" i="13"/>
  <c r="GM126" i="13"/>
  <c r="GM172" i="13"/>
  <c r="GM110" i="13"/>
  <c r="GN269" i="13"/>
  <c r="GN297" i="13"/>
  <c r="GN351" i="13"/>
  <c r="GN327" i="13"/>
  <c r="GN97" i="13"/>
  <c r="GN29" i="13"/>
  <c r="GM327" i="13"/>
  <c r="GN133" i="13"/>
  <c r="GN196" i="13"/>
  <c r="GN143" i="13"/>
  <c r="GN240" i="13"/>
  <c r="GN54" i="13"/>
  <c r="GN256" i="13"/>
  <c r="GN343" i="13"/>
  <c r="T378" i="21"/>
  <c r="S378" i="21" s="1"/>
  <c r="GQ378" i="13"/>
  <c r="GK378" i="13"/>
  <c r="GL378" i="13" s="1"/>
  <c r="GO378" i="13"/>
  <c r="GK122" i="13"/>
  <c r="GL122" i="13" s="1"/>
  <c r="GQ122" i="13"/>
  <c r="T122" i="21"/>
  <c r="S122" i="21" s="1"/>
  <c r="GO122" i="13"/>
  <c r="T241" i="21"/>
  <c r="S241" i="21" s="1"/>
  <c r="GK241" i="13"/>
  <c r="GL241" i="13" s="1"/>
  <c r="GQ241" i="13"/>
  <c r="GO241" i="13"/>
  <c r="T88" i="21"/>
  <c r="S88" i="21" s="1"/>
  <c r="GK88" i="13"/>
  <c r="GL88" i="13" s="1"/>
  <c r="GQ88" i="13"/>
  <c r="GO88" i="13"/>
  <c r="T184" i="21"/>
  <c r="S184" i="21" s="1"/>
  <c r="GK184" i="13"/>
  <c r="GL184" i="13" s="1"/>
  <c r="GQ184" i="13"/>
  <c r="GO184" i="13"/>
  <c r="T191" i="21"/>
  <c r="S191" i="21" s="1"/>
  <c r="GK191" i="13"/>
  <c r="GL191" i="13" s="1"/>
  <c r="GQ191" i="13"/>
  <c r="GO191" i="13"/>
  <c r="T390" i="21"/>
  <c r="S390" i="21" s="1"/>
  <c r="GK390" i="13"/>
  <c r="GL390" i="13" s="1"/>
  <c r="GQ390" i="13"/>
  <c r="GO390" i="13"/>
  <c r="GK134" i="13"/>
  <c r="GL134" i="13" s="1"/>
  <c r="GQ134" i="13"/>
  <c r="T134" i="21"/>
  <c r="S134" i="21" s="1"/>
  <c r="GO134" i="13"/>
  <c r="GQ365" i="13"/>
  <c r="GK365" i="13"/>
  <c r="GL365" i="13" s="1"/>
  <c r="T365" i="21"/>
  <c r="S365" i="21" s="1"/>
  <c r="GO365" i="13"/>
  <c r="T109" i="21"/>
  <c r="S109" i="21" s="1"/>
  <c r="GK109" i="13"/>
  <c r="GL109" i="13" s="1"/>
  <c r="GQ109" i="13"/>
  <c r="GO109" i="13"/>
  <c r="GQ332" i="13"/>
  <c r="T332" i="21"/>
  <c r="S332" i="21" s="1"/>
  <c r="GK332" i="13"/>
  <c r="GL332" i="13" s="1"/>
  <c r="GO332" i="13"/>
  <c r="T76" i="21"/>
  <c r="S76" i="21" s="1"/>
  <c r="GK76" i="13"/>
  <c r="GL76" i="13" s="1"/>
  <c r="GQ76" i="13"/>
  <c r="GO76" i="13"/>
  <c r="GN167" i="13"/>
  <c r="GN91" i="13"/>
  <c r="GN203" i="13"/>
  <c r="GN241" i="13"/>
  <c r="GM116" i="13"/>
  <c r="GM135" i="13"/>
  <c r="GM69" i="13"/>
  <c r="GM289" i="13"/>
  <c r="GN152" i="13"/>
  <c r="GN74" i="13"/>
  <c r="GN144" i="13"/>
  <c r="GN173" i="13"/>
  <c r="GN262" i="13"/>
  <c r="GN136" i="13"/>
  <c r="GM64" i="13"/>
  <c r="GN197" i="13"/>
  <c r="GN311" i="13"/>
  <c r="GM365" i="13"/>
  <c r="GN287" i="13"/>
  <c r="GN361" i="13"/>
  <c r="GN50" i="13"/>
  <c r="GN56" i="13"/>
  <c r="GN148" i="13"/>
  <c r="GN72" i="13"/>
  <c r="GN261" i="13"/>
  <c r="GQ234" i="13"/>
  <c r="GK234" i="13"/>
  <c r="GL234" i="13" s="1"/>
  <c r="T234" i="21"/>
  <c r="S234" i="21" s="1"/>
  <c r="GO234" i="13"/>
  <c r="T157" i="21"/>
  <c r="S157" i="21" s="1"/>
  <c r="GK157" i="13"/>
  <c r="GL157" i="13" s="1"/>
  <c r="GQ157" i="13"/>
  <c r="GO157" i="13"/>
  <c r="T226" i="21"/>
  <c r="S226" i="21" s="1"/>
  <c r="GK226" i="13"/>
  <c r="GL226" i="13" s="1"/>
  <c r="GQ226" i="13"/>
  <c r="GO226" i="13"/>
  <c r="T238" i="21"/>
  <c r="S238" i="21" s="1"/>
  <c r="GK238" i="13"/>
  <c r="GL238" i="13" s="1"/>
  <c r="GQ238" i="13"/>
  <c r="GO238" i="13"/>
  <c r="T233" i="21"/>
  <c r="S233" i="21" s="1"/>
  <c r="GK233" i="13"/>
  <c r="GL233" i="13" s="1"/>
  <c r="GQ233" i="13"/>
  <c r="GO233" i="13"/>
  <c r="GK382" i="13"/>
  <c r="GL382" i="13" s="1"/>
  <c r="GQ382" i="13"/>
  <c r="T382" i="21"/>
  <c r="S382" i="21" s="1"/>
  <c r="GO382" i="13"/>
  <c r="GK101" i="13"/>
  <c r="GL101" i="13" s="1"/>
  <c r="GQ101" i="13"/>
  <c r="T101" i="21"/>
  <c r="S101" i="21" s="1"/>
  <c r="GO101" i="13"/>
  <c r="T306" i="21"/>
  <c r="S306" i="21" s="1"/>
  <c r="GK306" i="13"/>
  <c r="GL306" i="13" s="1"/>
  <c r="GQ306" i="13"/>
  <c r="GO306" i="13"/>
  <c r="T368" i="21"/>
  <c r="S368" i="21" s="1"/>
  <c r="GK368" i="13"/>
  <c r="GL368" i="13" s="1"/>
  <c r="GQ368" i="13"/>
  <c r="GO368" i="13"/>
  <c r="T318" i="21"/>
  <c r="S318" i="21" s="1"/>
  <c r="GK318" i="13"/>
  <c r="GL318" i="13" s="1"/>
  <c r="GQ318" i="13"/>
  <c r="GO318" i="13"/>
  <c r="T293" i="21"/>
  <c r="S293" i="21" s="1"/>
  <c r="GK293" i="13"/>
  <c r="GL293" i="13" s="1"/>
  <c r="GQ293" i="13"/>
  <c r="GO293" i="13"/>
  <c r="GK260" i="13"/>
  <c r="GL260" i="13" s="1"/>
  <c r="GQ260" i="13"/>
  <c r="T260" i="21"/>
  <c r="S260" i="21" s="1"/>
  <c r="GO260" i="13"/>
  <c r="GP304" i="13"/>
  <c r="GP311" i="13"/>
  <c r="GP254" i="13"/>
  <c r="T298" i="21"/>
  <c r="S298" i="21" s="1"/>
  <c r="GQ298" i="13"/>
  <c r="GK298" i="13"/>
  <c r="GL298" i="13" s="1"/>
  <c r="GO298" i="13"/>
  <c r="T42" i="21"/>
  <c r="S42" i="21" s="1"/>
  <c r="GK42" i="13"/>
  <c r="GL42" i="13" s="1"/>
  <c r="GQ42" i="13"/>
  <c r="GO42" i="13"/>
  <c r="T161" i="21"/>
  <c r="S161" i="21" s="1"/>
  <c r="GK161" i="13"/>
  <c r="GL161" i="13" s="1"/>
  <c r="GQ161" i="13"/>
  <c r="GO161" i="13"/>
  <c r="GK296" i="13"/>
  <c r="GL296" i="13" s="1"/>
  <c r="GQ296" i="13"/>
  <c r="T296" i="21"/>
  <c r="S296" i="21" s="1"/>
  <c r="GO296" i="13"/>
  <c r="T303" i="21"/>
  <c r="S303" i="21" s="1"/>
  <c r="GK303" i="13"/>
  <c r="GL303" i="13" s="1"/>
  <c r="GQ303" i="13"/>
  <c r="GO303" i="13"/>
  <c r="T47" i="21"/>
  <c r="S47" i="21" s="1"/>
  <c r="GK47" i="13"/>
  <c r="GL47" i="13" s="1"/>
  <c r="GQ47" i="13"/>
  <c r="GO47" i="13"/>
  <c r="T246" i="21"/>
  <c r="S246" i="21" s="1"/>
  <c r="GK246" i="13"/>
  <c r="GL246" i="13" s="1"/>
  <c r="GQ246" i="13"/>
  <c r="GO246" i="13"/>
  <c r="T331" i="21"/>
  <c r="S331" i="21" s="1"/>
  <c r="GK331" i="13"/>
  <c r="GL331" i="13" s="1"/>
  <c r="GQ331" i="13"/>
  <c r="GO331" i="13"/>
  <c r="GQ221" i="13"/>
  <c r="GK221" i="13"/>
  <c r="GL221" i="13" s="1"/>
  <c r="T221" i="21"/>
  <c r="S221" i="21" s="1"/>
  <c r="GO221" i="13"/>
  <c r="GQ195" i="13"/>
  <c r="T195" i="21"/>
  <c r="S195" i="21" s="1"/>
  <c r="GK195" i="13"/>
  <c r="GL195" i="13" s="1"/>
  <c r="GO195" i="13"/>
  <c r="T188" i="21"/>
  <c r="S188" i="21" s="1"/>
  <c r="GK188" i="13"/>
  <c r="GL188" i="13" s="1"/>
  <c r="GQ188" i="13"/>
  <c r="GO188" i="13"/>
  <c r="GM180" i="13"/>
  <c r="GQ290" i="13"/>
  <c r="T290" i="21"/>
  <c r="S290" i="21" s="1"/>
  <c r="GK290" i="13"/>
  <c r="GL290" i="13" s="1"/>
  <c r="GO290" i="13"/>
  <c r="GQ34" i="13"/>
  <c r="T34" i="21"/>
  <c r="S34" i="21" s="1"/>
  <c r="GK34" i="13"/>
  <c r="GL34" i="13" s="1"/>
  <c r="GO34" i="13"/>
  <c r="GK153" i="13"/>
  <c r="GL153" i="13" s="1"/>
  <c r="T153" i="21"/>
  <c r="S153" i="21" s="1"/>
  <c r="GQ153" i="13"/>
  <c r="GO153" i="13"/>
  <c r="T352" i="21"/>
  <c r="S352" i="21" s="1"/>
  <c r="GK352" i="13"/>
  <c r="GL352" i="13" s="1"/>
  <c r="GQ352" i="13"/>
  <c r="GO352" i="13"/>
  <c r="T359" i="21"/>
  <c r="S359" i="21" s="1"/>
  <c r="GK359" i="13"/>
  <c r="GL359" i="13" s="1"/>
  <c r="GQ359" i="13"/>
  <c r="GO359" i="13"/>
  <c r="T103" i="21"/>
  <c r="S103" i="21" s="1"/>
  <c r="GK103" i="13"/>
  <c r="GL103" i="13" s="1"/>
  <c r="GQ103" i="13"/>
  <c r="GO103" i="13"/>
  <c r="T302" i="21"/>
  <c r="S302" i="21" s="1"/>
  <c r="GK302" i="13"/>
  <c r="GL302" i="13" s="1"/>
  <c r="GQ302" i="13"/>
  <c r="GO302" i="13"/>
  <c r="GQ46" i="13"/>
  <c r="T46" i="21"/>
  <c r="S46" i="21" s="1"/>
  <c r="GK46" i="13"/>
  <c r="GL46" i="13" s="1"/>
  <c r="GO46" i="13"/>
  <c r="T277" i="21"/>
  <c r="S277" i="21" s="1"/>
  <c r="GK277" i="13"/>
  <c r="GL277" i="13" s="1"/>
  <c r="GQ277" i="13"/>
  <c r="GO277" i="13"/>
  <c r="GQ363" i="13"/>
  <c r="T363" i="21"/>
  <c r="S363" i="21" s="1"/>
  <c r="GK363" i="13"/>
  <c r="GL363" i="13" s="1"/>
  <c r="GO363" i="13"/>
  <c r="GQ244" i="13"/>
  <c r="T244" i="21"/>
  <c r="S244" i="21" s="1"/>
  <c r="GK244" i="13"/>
  <c r="GL244" i="13" s="1"/>
  <c r="GO244" i="13"/>
  <c r="T99" i="21"/>
  <c r="S99" i="21" s="1"/>
  <c r="GK99" i="13"/>
  <c r="GL99" i="13" s="1"/>
  <c r="GQ99" i="13"/>
  <c r="GO99" i="13"/>
  <c r="GM388" i="13"/>
  <c r="GM147" i="13"/>
  <c r="GM293" i="13"/>
  <c r="GP273" i="13"/>
  <c r="GP166" i="13"/>
  <c r="GM370" i="13"/>
  <c r="GM347" i="13"/>
  <c r="GM74" i="13"/>
  <c r="GM137" i="13"/>
  <c r="GM94" i="13"/>
  <c r="GM277" i="13"/>
  <c r="GM338" i="13"/>
  <c r="GM269" i="13"/>
  <c r="GM176" i="13"/>
  <c r="GM201" i="13"/>
  <c r="GM90" i="13"/>
  <c r="GM224" i="13"/>
  <c r="GN338" i="13"/>
  <c r="GN206" i="13"/>
  <c r="GN42" i="13"/>
  <c r="GN31" i="13"/>
  <c r="GN347" i="13"/>
  <c r="GM325" i="13"/>
  <c r="GM149" i="13"/>
  <c r="GN188" i="13"/>
  <c r="GN305" i="13"/>
  <c r="GN145" i="13"/>
  <c r="GN384" i="13"/>
  <c r="GN300" i="13"/>
  <c r="GM174" i="13"/>
  <c r="GN225" i="13"/>
  <c r="GN293" i="13"/>
  <c r="GN185" i="13"/>
  <c r="GN155" i="13"/>
  <c r="GN247" i="13"/>
  <c r="GN131" i="13"/>
  <c r="GN38" i="13"/>
  <c r="GM259" i="13"/>
  <c r="GN211" i="13"/>
  <c r="GN245" i="13"/>
  <c r="GN208" i="13"/>
  <c r="GN164" i="13"/>
  <c r="GN390" i="13"/>
  <c r="GN69" i="13"/>
  <c r="GM186" i="13"/>
  <c r="GM205" i="13"/>
  <c r="GM184" i="13"/>
  <c r="GM266" i="13"/>
  <c r="GM346" i="13"/>
  <c r="GM51" i="13"/>
  <c r="GN284" i="13"/>
  <c r="GM32" i="13"/>
  <c r="GN307" i="13"/>
  <c r="GN363" i="13"/>
  <c r="GN124" i="13"/>
  <c r="GN51" i="13"/>
  <c r="GN44" i="13"/>
  <c r="GN280" i="13"/>
  <c r="GN309" i="13"/>
  <c r="GM158" i="13"/>
  <c r="GN357" i="13"/>
  <c r="GN201" i="13"/>
  <c r="GN165" i="13"/>
  <c r="GN218" i="13"/>
  <c r="GN162" i="13"/>
  <c r="GM263" i="13"/>
  <c r="GN210" i="13"/>
  <c r="GN184" i="13"/>
  <c r="T171" i="21"/>
  <c r="S171" i="21" s="1"/>
  <c r="GK171" i="13"/>
  <c r="GL171" i="13" s="1"/>
  <c r="GQ171" i="13"/>
  <c r="GO171" i="13"/>
  <c r="T89" i="21"/>
  <c r="S89" i="21" s="1"/>
  <c r="GK89" i="13"/>
  <c r="GL89" i="13" s="1"/>
  <c r="GQ89" i="13"/>
  <c r="GO89" i="13"/>
  <c r="T315" i="21"/>
  <c r="S315" i="21" s="1"/>
  <c r="GK315" i="13"/>
  <c r="GL315" i="13" s="1"/>
  <c r="GQ315" i="13"/>
  <c r="GO315" i="13"/>
  <c r="GM345" i="13"/>
  <c r="T80" i="21"/>
  <c r="S80" i="21" s="1"/>
  <c r="GK80" i="13"/>
  <c r="GL80" i="13" s="1"/>
  <c r="GQ80" i="13"/>
  <c r="GO80" i="13"/>
  <c r="T324" i="21"/>
  <c r="S324" i="21" s="1"/>
  <c r="GK324" i="13"/>
  <c r="GL324" i="13" s="1"/>
  <c r="GQ324" i="13"/>
  <c r="GO324" i="13"/>
  <c r="T169" i="21"/>
  <c r="S169" i="21" s="1"/>
  <c r="GK169" i="13"/>
  <c r="GL169" i="13" s="1"/>
  <c r="GQ169" i="13"/>
  <c r="GO169" i="13"/>
  <c r="GK119" i="13"/>
  <c r="GL119" i="13" s="1"/>
  <c r="GQ119" i="13"/>
  <c r="T119" i="21"/>
  <c r="S119" i="21" s="1"/>
  <c r="GO119" i="13"/>
  <c r="T37" i="21"/>
  <c r="S37" i="21" s="1"/>
  <c r="GQ37" i="13"/>
  <c r="GK37" i="13"/>
  <c r="GL37" i="13" s="1"/>
  <c r="GO37" i="13"/>
  <c r="T242" i="21"/>
  <c r="S242" i="21" s="1"/>
  <c r="GK242" i="13"/>
  <c r="GL242" i="13" s="1"/>
  <c r="GQ242" i="13"/>
  <c r="GO242" i="13"/>
  <c r="T361" i="21"/>
  <c r="S361" i="21" s="1"/>
  <c r="GK361" i="13"/>
  <c r="GL361" i="13" s="1"/>
  <c r="GQ361" i="13"/>
  <c r="GO361" i="13"/>
  <c r="T105" i="21"/>
  <c r="S105" i="21" s="1"/>
  <c r="GK105" i="13"/>
  <c r="GL105" i="13" s="1"/>
  <c r="GQ105" i="13"/>
  <c r="GO105" i="13"/>
  <c r="GQ304" i="13"/>
  <c r="T304" i="21"/>
  <c r="S304" i="21" s="1"/>
  <c r="GK304" i="13"/>
  <c r="GL304" i="13" s="1"/>
  <c r="GO304" i="13"/>
  <c r="T311" i="21"/>
  <c r="S311" i="21" s="1"/>
  <c r="GK311" i="13"/>
  <c r="GL311" i="13" s="1"/>
  <c r="GQ311" i="13"/>
  <c r="GO311" i="13"/>
  <c r="T55" i="21"/>
  <c r="S55" i="21" s="1"/>
  <c r="GK55" i="13"/>
  <c r="GL55" i="13" s="1"/>
  <c r="GQ55" i="13"/>
  <c r="GO55" i="13"/>
  <c r="T254" i="21"/>
  <c r="S254" i="21" s="1"/>
  <c r="GK254" i="13"/>
  <c r="GL254" i="13" s="1"/>
  <c r="GQ254" i="13"/>
  <c r="GO254" i="13"/>
  <c r="T339" i="21"/>
  <c r="S339" i="21" s="1"/>
  <c r="GK339" i="13"/>
  <c r="GL339" i="13" s="1"/>
  <c r="GQ339" i="13"/>
  <c r="GO339" i="13"/>
  <c r="GK229" i="13"/>
  <c r="GL229" i="13" s="1"/>
  <c r="GQ229" i="13"/>
  <c r="T229" i="21"/>
  <c r="S229" i="21" s="1"/>
  <c r="GO229" i="13"/>
  <c r="T219" i="21"/>
  <c r="S219" i="21" s="1"/>
  <c r="GK219" i="13"/>
  <c r="GL219" i="13" s="1"/>
  <c r="GQ219" i="13"/>
  <c r="GO219" i="13"/>
  <c r="GQ196" i="13"/>
  <c r="T196" i="21"/>
  <c r="S196" i="21" s="1"/>
  <c r="GK196" i="13"/>
  <c r="GL196" i="13" s="1"/>
  <c r="GO196" i="13"/>
  <c r="GM208" i="13"/>
  <c r="GM382" i="13"/>
  <c r="GM50" i="13"/>
  <c r="GP234" i="13"/>
  <c r="GP353" i="13"/>
  <c r="GP97" i="13"/>
  <c r="GP232" i="13"/>
  <c r="GP239" i="13"/>
  <c r="GP171" i="13"/>
  <c r="GP182" i="13"/>
  <c r="GP107" i="13"/>
  <c r="GP157" i="13"/>
  <c r="GP380" i="13"/>
  <c r="GP124" i="13"/>
  <c r="GM234" i="13"/>
  <c r="GP226" i="13"/>
  <c r="GP345" i="13"/>
  <c r="GP89" i="13"/>
  <c r="GP288" i="13"/>
  <c r="GP295" i="13"/>
  <c r="GP39" i="13"/>
  <c r="GP238" i="13"/>
  <c r="GP315" i="13"/>
  <c r="GP213" i="13"/>
  <c r="GP179" i="13"/>
  <c r="GP180" i="13"/>
  <c r="GM296" i="13"/>
  <c r="GM183" i="13"/>
  <c r="GM290" i="13"/>
  <c r="GM34" i="13"/>
  <c r="GM360" i="13"/>
  <c r="T154" i="21"/>
  <c r="S154" i="21" s="1"/>
  <c r="GK154" i="13"/>
  <c r="GL154" i="13" s="1"/>
  <c r="GQ154" i="13"/>
  <c r="GO154" i="13"/>
  <c r="T273" i="21"/>
  <c r="S273" i="21" s="1"/>
  <c r="GK273" i="13"/>
  <c r="GL273" i="13" s="1"/>
  <c r="GQ273" i="13"/>
  <c r="GO273" i="13"/>
  <c r="GK120" i="13"/>
  <c r="GL120" i="13" s="1"/>
  <c r="GQ120" i="13"/>
  <c r="T120" i="21"/>
  <c r="S120" i="21" s="1"/>
  <c r="GO120" i="13"/>
  <c r="T216" i="21"/>
  <c r="S216" i="21" s="1"/>
  <c r="GK216" i="13"/>
  <c r="GL216" i="13" s="1"/>
  <c r="GQ216" i="13"/>
  <c r="GO216" i="13"/>
  <c r="T223" i="21"/>
  <c r="S223" i="21" s="1"/>
  <c r="GK223" i="13"/>
  <c r="GL223" i="13" s="1"/>
  <c r="GQ223" i="13"/>
  <c r="GO223" i="13"/>
  <c r="T123" i="21"/>
  <c r="S123" i="21" s="1"/>
  <c r="GK123" i="13"/>
  <c r="GL123" i="13" s="1"/>
  <c r="GQ123" i="13"/>
  <c r="GO123" i="13"/>
  <c r="T166" i="21"/>
  <c r="S166" i="21" s="1"/>
  <c r="GK166" i="13"/>
  <c r="GL166" i="13" s="1"/>
  <c r="GQ166" i="13"/>
  <c r="GO166" i="13"/>
  <c r="T43" i="21"/>
  <c r="S43" i="21" s="1"/>
  <c r="GK43" i="13"/>
  <c r="GL43" i="13" s="1"/>
  <c r="GQ43" i="13"/>
  <c r="GO43" i="13"/>
  <c r="T141" i="21"/>
  <c r="S141" i="21" s="1"/>
  <c r="GQ141" i="13"/>
  <c r="GK141" i="13"/>
  <c r="GL141" i="13" s="1"/>
  <c r="GO141" i="13"/>
  <c r="T364" i="21"/>
  <c r="S364" i="21" s="1"/>
  <c r="GK364" i="13"/>
  <c r="GL364" i="13" s="1"/>
  <c r="GQ364" i="13"/>
  <c r="GO364" i="13"/>
  <c r="GK108" i="13"/>
  <c r="GL108" i="13" s="1"/>
  <c r="GQ108" i="13"/>
  <c r="T108" i="21"/>
  <c r="S108" i="21" s="1"/>
  <c r="GO108" i="13"/>
  <c r="GM364" i="13"/>
  <c r="GM258" i="13"/>
  <c r="T274" i="21"/>
  <c r="S274" i="21" s="1"/>
  <c r="GK274" i="13"/>
  <c r="GL274" i="13" s="1"/>
  <c r="GQ274" i="13"/>
  <c r="GO274" i="13"/>
  <c r="T40" i="21"/>
  <c r="S40" i="21" s="1"/>
  <c r="GK40" i="13"/>
  <c r="GL40" i="13" s="1"/>
  <c r="GQ40" i="13"/>
  <c r="GO40" i="13"/>
  <c r="T137" i="21"/>
  <c r="S137" i="21" s="1"/>
  <c r="GK137" i="13"/>
  <c r="GL137" i="13" s="1"/>
  <c r="GQ137" i="13"/>
  <c r="GO137" i="13"/>
  <c r="T336" i="21"/>
  <c r="S336" i="21" s="1"/>
  <c r="GK336" i="13"/>
  <c r="GL336" i="13" s="1"/>
  <c r="GQ336" i="13"/>
  <c r="GO336" i="13"/>
  <c r="T343" i="21"/>
  <c r="S343" i="21" s="1"/>
  <c r="GK343" i="13"/>
  <c r="GL343" i="13" s="1"/>
  <c r="GQ343" i="13"/>
  <c r="GO343" i="13"/>
  <c r="T87" i="21"/>
  <c r="S87" i="21" s="1"/>
  <c r="GK87" i="13"/>
  <c r="GL87" i="13" s="1"/>
  <c r="GQ87" i="13"/>
  <c r="GO87" i="13"/>
  <c r="T286" i="21"/>
  <c r="S286" i="21" s="1"/>
  <c r="GK286" i="13"/>
  <c r="GL286" i="13" s="1"/>
  <c r="GQ286" i="13"/>
  <c r="GO286" i="13"/>
  <c r="T30" i="21"/>
  <c r="S30" i="21" s="1"/>
  <c r="GK30" i="13"/>
  <c r="GQ30" i="13"/>
  <c r="GO30" i="13"/>
  <c r="T261" i="21"/>
  <c r="S261" i="21" s="1"/>
  <c r="GQ261" i="13"/>
  <c r="GK261" i="13"/>
  <c r="GL261" i="13" s="1"/>
  <c r="GO261" i="13"/>
  <c r="T323" i="21"/>
  <c r="S323" i="21" s="1"/>
  <c r="GK323" i="13"/>
  <c r="GL323" i="13" s="1"/>
  <c r="GQ323" i="13"/>
  <c r="GO323" i="13"/>
  <c r="GQ228" i="13"/>
  <c r="T228" i="21"/>
  <c r="S228" i="21" s="1"/>
  <c r="GK228" i="13"/>
  <c r="GL228" i="13" s="1"/>
  <c r="GO228" i="13"/>
  <c r="GM374" i="13"/>
  <c r="GM351" i="13"/>
  <c r="GM284" i="13"/>
  <c r="GQ202" i="13"/>
  <c r="T202" i="21"/>
  <c r="S202" i="21" s="1"/>
  <c r="GK202" i="13"/>
  <c r="GL202" i="13" s="1"/>
  <c r="GO202" i="13"/>
  <c r="T321" i="21"/>
  <c r="S321" i="21" s="1"/>
  <c r="GK321" i="13"/>
  <c r="GL321" i="13" s="1"/>
  <c r="GQ321" i="13"/>
  <c r="GO321" i="13"/>
  <c r="T65" i="21"/>
  <c r="S65" i="21" s="1"/>
  <c r="GK65" i="13"/>
  <c r="GL65" i="13" s="1"/>
  <c r="GQ65" i="13"/>
  <c r="GO65" i="13"/>
  <c r="T264" i="21"/>
  <c r="S264" i="21" s="1"/>
  <c r="GK264" i="13"/>
  <c r="GL264" i="13" s="1"/>
  <c r="GQ264" i="13"/>
  <c r="GO264" i="13"/>
  <c r="GK271" i="13"/>
  <c r="GL271" i="13" s="1"/>
  <c r="GQ271" i="13"/>
  <c r="T271" i="21"/>
  <c r="S271" i="21" s="1"/>
  <c r="GO271" i="13"/>
  <c r="T299" i="21"/>
  <c r="S299" i="21" s="1"/>
  <c r="GK299" i="13"/>
  <c r="GL299" i="13" s="1"/>
  <c r="GQ299" i="13"/>
  <c r="GO299" i="13"/>
  <c r="T214" i="21"/>
  <c r="S214" i="21" s="1"/>
  <c r="GK214" i="13"/>
  <c r="GL214" i="13" s="1"/>
  <c r="GQ214" i="13"/>
  <c r="GO214" i="13"/>
  <c r="T243" i="21"/>
  <c r="S243" i="21" s="1"/>
  <c r="GK243" i="13"/>
  <c r="GL243" i="13" s="1"/>
  <c r="GQ243" i="13"/>
  <c r="GO243" i="13"/>
  <c r="GQ189" i="13"/>
  <c r="T189" i="21"/>
  <c r="S189" i="21" s="1"/>
  <c r="GK189" i="13"/>
  <c r="GL189" i="13" s="1"/>
  <c r="GO189" i="13"/>
  <c r="GK83" i="13"/>
  <c r="GL83" i="13" s="1"/>
  <c r="GQ83" i="13"/>
  <c r="T83" i="21"/>
  <c r="S83" i="21" s="1"/>
  <c r="GO83" i="13"/>
  <c r="GQ156" i="13"/>
  <c r="T156" i="21"/>
  <c r="S156" i="21" s="1"/>
  <c r="GK156" i="13"/>
  <c r="GL156" i="13" s="1"/>
  <c r="GO156" i="13"/>
  <c r="GM164" i="13"/>
  <c r="GM384" i="13"/>
  <c r="GM37" i="13"/>
  <c r="GM46" i="13"/>
  <c r="T386" i="21"/>
  <c r="S386" i="21" s="1"/>
  <c r="GK386" i="13"/>
  <c r="GL386" i="13" s="1"/>
  <c r="GQ386" i="13"/>
  <c r="GO386" i="13"/>
  <c r="T130" i="21"/>
  <c r="S130" i="21" s="1"/>
  <c r="GK130" i="13"/>
  <c r="GL130" i="13" s="1"/>
  <c r="GQ130" i="13"/>
  <c r="GO130" i="13"/>
  <c r="T249" i="21"/>
  <c r="S249" i="21" s="1"/>
  <c r="GK249" i="13"/>
  <c r="GL249" i="13" s="1"/>
  <c r="GQ249" i="13"/>
  <c r="GO249" i="13"/>
  <c r="T96" i="21"/>
  <c r="S96" i="21" s="1"/>
  <c r="GQ96" i="13"/>
  <c r="GK96" i="13"/>
  <c r="GL96" i="13" s="1"/>
  <c r="GO96" i="13"/>
  <c r="GK192" i="13"/>
  <c r="GL192" i="13" s="1"/>
  <c r="GQ192" i="13"/>
  <c r="T192" i="21"/>
  <c r="S192" i="21" s="1"/>
  <c r="GO192" i="13"/>
  <c r="GQ199" i="13"/>
  <c r="T199" i="21"/>
  <c r="S199" i="21" s="1"/>
  <c r="GK199" i="13"/>
  <c r="GL199" i="13" s="1"/>
  <c r="GO199" i="13"/>
  <c r="GK27" i="13"/>
  <c r="T27" i="21"/>
  <c r="S27" i="21" s="1"/>
  <c r="GQ27" i="13"/>
  <c r="GO27" i="13"/>
  <c r="GQ142" i="13"/>
  <c r="T142" i="21"/>
  <c r="S142" i="21" s="1"/>
  <c r="GK142" i="13"/>
  <c r="GL142" i="13" s="1"/>
  <c r="GO142" i="13"/>
  <c r="GK373" i="13"/>
  <c r="GL373" i="13" s="1"/>
  <c r="T373" i="21"/>
  <c r="S373" i="21" s="1"/>
  <c r="GQ373" i="13"/>
  <c r="GO373" i="13"/>
  <c r="T117" i="21"/>
  <c r="S117" i="21" s="1"/>
  <c r="GK117" i="13"/>
  <c r="GL117" i="13" s="1"/>
  <c r="GQ117" i="13"/>
  <c r="GO117" i="13"/>
  <c r="GQ340" i="13"/>
  <c r="T340" i="21"/>
  <c r="S340" i="21" s="1"/>
  <c r="GK340" i="13"/>
  <c r="GL340" i="13" s="1"/>
  <c r="GO340" i="13"/>
  <c r="T84" i="21"/>
  <c r="S84" i="21" s="1"/>
  <c r="GK84" i="13"/>
  <c r="GL84" i="13" s="1"/>
  <c r="GQ84" i="13"/>
  <c r="GO84" i="13"/>
  <c r="GM339" i="13"/>
  <c r="GM56" i="13"/>
  <c r="GM299" i="13"/>
  <c r="GN306" i="13"/>
  <c r="GN83" i="13"/>
  <c r="GN87" i="13"/>
  <c r="GN349" i="13"/>
  <c r="GN232" i="13"/>
  <c r="GN328" i="13"/>
  <c r="GM343" i="13"/>
  <c r="GM138" i="13"/>
  <c r="GM161" i="13"/>
  <c r="GM39" i="13"/>
  <c r="GN130" i="13"/>
  <c r="GN64" i="13"/>
  <c r="GN290" i="13"/>
  <c r="GN53" i="13"/>
  <c r="GN61" i="13"/>
  <c r="GN32" i="13"/>
  <c r="GM48" i="13"/>
  <c r="GN47" i="13"/>
  <c r="GN223" i="13"/>
  <c r="GN84" i="13"/>
  <c r="GN158" i="13"/>
  <c r="GN55" i="13"/>
  <c r="GN359" i="13"/>
  <c r="GN295" i="13"/>
  <c r="T314" i="21"/>
  <c r="S314" i="21" s="1"/>
  <c r="GK314" i="13"/>
  <c r="GL314" i="13" s="1"/>
  <c r="GQ314" i="13"/>
  <c r="GO314" i="13"/>
  <c r="T58" i="21"/>
  <c r="S58" i="21" s="1"/>
  <c r="GK58" i="13"/>
  <c r="GL58" i="13" s="1"/>
  <c r="GQ58" i="13"/>
  <c r="GO58" i="13"/>
  <c r="T177" i="21"/>
  <c r="S177" i="21" s="1"/>
  <c r="GK177" i="13"/>
  <c r="GL177" i="13" s="1"/>
  <c r="GQ177" i="13"/>
  <c r="GO177" i="13"/>
  <c r="GK376" i="13"/>
  <c r="GL376" i="13" s="1"/>
  <c r="GQ376" i="13"/>
  <c r="T376" i="21"/>
  <c r="S376" i="21" s="1"/>
  <c r="GO376" i="13"/>
  <c r="GQ383" i="13"/>
  <c r="GK383" i="13"/>
  <c r="GL383" i="13" s="1"/>
  <c r="T383" i="21"/>
  <c r="S383" i="21" s="1"/>
  <c r="GO383" i="13"/>
  <c r="T127" i="21"/>
  <c r="S127" i="21" s="1"/>
  <c r="GK127" i="13"/>
  <c r="GL127" i="13" s="1"/>
  <c r="GQ127" i="13"/>
  <c r="GO127" i="13"/>
  <c r="GK326" i="13"/>
  <c r="GL326" i="13" s="1"/>
  <c r="GQ326" i="13"/>
  <c r="T326" i="21"/>
  <c r="S326" i="21" s="1"/>
  <c r="GO326" i="13"/>
  <c r="T70" i="21"/>
  <c r="S70" i="21" s="1"/>
  <c r="GK70" i="13"/>
  <c r="GL70" i="13" s="1"/>
  <c r="GQ70" i="13"/>
  <c r="GO70" i="13"/>
  <c r="T301" i="21"/>
  <c r="S301" i="21" s="1"/>
  <c r="GK301" i="13"/>
  <c r="GL301" i="13" s="1"/>
  <c r="GQ301" i="13"/>
  <c r="GO301" i="13"/>
  <c r="GQ45" i="13"/>
  <c r="T45" i="21"/>
  <c r="S45" i="21" s="1"/>
  <c r="GK45" i="13"/>
  <c r="GL45" i="13" s="1"/>
  <c r="GO45" i="13"/>
  <c r="T268" i="21"/>
  <c r="S268" i="21" s="1"/>
  <c r="GK268" i="13"/>
  <c r="GL268" i="13" s="1"/>
  <c r="GQ268" i="13"/>
  <c r="GO268" i="13"/>
  <c r="T227" i="21"/>
  <c r="S227" i="21" s="1"/>
  <c r="GK227" i="13"/>
  <c r="GL227" i="13" s="1"/>
  <c r="GQ227" i="13"/>
  <c r="GO227" i="13"/>
  <c r="GM120" i="13"/>
  <c r="GN233" i="13"/>
  <c r="GN322" i="13"/>
  <c r="GN236" i="13"/>
  <c r="GN186" i="13"/>
  <c r="GN27" i="13"/>
  <c r="GN65" i="13"/>
  <c r="GM215" i="13"/>
  <c r="GM206" i="13"/>
  <c r="GM91" i="13"/>
  <c r="GM367" i="13"/>
  <c r="GM140" i="13"/>
  <c r="GM153" i="13"/>
  <c r="GN341" i="13"/>
  <c r="GM308" i="13"/>
  <c r="GN303" i="13"/>
  <c r="GN107" i="13"/>
  <c r="GN273" i="13"/>
  <c r="GN58" i="13"/>
  <c r="GN332" i="13"/>
  <c r="GN49" i="13"/>
  <c r="GN75" i="13"/>
  <c r="GN85" i="13"/>
  <c r="GN175" i="13"/>
  <c r="GM103" i="13"/>
  <c r="GN275" i="13"/>
  <c r="GN239" i="13"/>
  <c r="GN138" i="13"/>
  <c r="GN102" i="13"/>
  <c r="GN263" i="13"/>
  <c r="GN115" i="13"/>
  <c r="GN170" i="13"/>
  <c r="GN216" i="13"/>
  <c r="G33" i="21"/>
  <c r="GN33" i="13" s="1"/>
  <c r="L20" i="21"/>
  <c r="L24" i="21" s="1"/>
  <c r="J20" i="21"/>
  <c r="GM25" i="13" l="1"/>
  <c r="GL10" i="13" s="1"/>
  <c r="GK10" i="13"/>
  <c r="GO25" i="13"/>
  <c r="GP10" i="13" s="1"/>
  <c r="GQ25" i="13"/>
  <c r="T25" i="21"/>
  <c r="S25" i="21" s="1"/>
  <c r="GK25" i="13"/>
  <c r="GL25" i="13" s="1"/>
  <c r="GJ25" i="13" s="1"/>
  <c r="GP25" i="13"/>
  <c r="GR10" i="13" s="1"/>
  <c r="GL30" i="13"/>
  <c r="GL26" i="13"/>
  <c r="GL29" i="13"/>
  <c r="GL27" i="13"/>
  <c r="GL31" i="13"/>
  <c r="GL28" i="13"/>
  <c r="GL32" i="13"/>
  <c r="GP33" i="13"/>
  <c r="T33" i="21"/>
  <c r="S33" i="21" s="1"/>
  <c r="GQ33" i="13"/>
  <c r="GK33" i="13"/>
  <c r="G20" i="21"/>
  <c r="GM33" i="13"/>
  <c r="GO33" i="13"/>
  <c r="M36" i="42" l="1"/>
  <c r="K36" i="42"/>
  <c r="K33" i="42" s="1"/>
  <c r="I36" i="42"/>
  <c r="G36" i="42"/>
  <c r="G33" i="42" s="1"/>
  <c r="C34" i="42"/>
  <c r="C38" i="42" s="1"/>
  <c r="M41" i="42"/>
  <c r="M47" i="42" s="1"/>
  <c r="GJ31" i="13"/>
  <c r="GJ29" i="13"/>
  <c r="GJ30" i="13"/>
  <c r="GJ32" i="13"/>
  <c r="GJ28" i="13"/>
  <c r="GJ26" i="13"/>
  <c r="GJ27" i="13"/>
  <c r="GL33" i="13"/>
  <c r="GJ33" i="13" s="1"/>
  <c r="I33" i="42" l="1"/>
  <c r="I35" i="42" s="1"/>
  <c r="M33" i="42"/>
  <c r="M35" i="42" s="1"/>
  <c r="G35" i="42"/>
  <c r="G34" i="42"/>
  <c r="K35" i="42"/>
  <c r="K34" i="42"/>
  <c r="M45" i="42"/>
  <c r="L45" i="42"/>
  <c r="K49" i="42" s="1"/>
  <c r="GJ314" i="13"/>
  <c r="GJ194" i="13"/>
  <c r="GJ386" i="13"/>
  <c r="GJ262" i="13"/>
  <c r="GJ372" i="13"/>
  <c r="GJ164" i="13"/>
  <c r="GJ50" i="13"/>
  <c r="GJ95" i="13"/>
  <c r="GJ156" i="13"/>
  <c r="GJ125" i="13"/>
  <c r="GJ278" i="13"/>
  <c r="GJ121" i="13"/>
  <c r="GJ147" i="13"/>
  <c r="GJ326" i="13"/>
  <c r="GJ182" i="13"/>
  <c r="GJ52" i="13"/>
  <c r="GJ203" i="13"/>
  <c r="GJ327" i="13"/>
  <c r="GJ163" i="13"/>
  <c r="GJ373" i="13"/>
  <c r="GJ145" i="13"/>
  <c r="GJ44" i="13"/>
  <c r="GJ131" i="13"/>
  <c r="GJ231" i="13"/>
  <c r="GJ246" i="13"/>
  <c r="GJ258" i="13"/>
  <c r="GJ90" i="13"/>
  <c r="GJ273" i="13"/>
  <c r="GJ218" i="13"/>
  <c r="GJ226" i="13"/>
  <c r="GJ225" i="13"/>
  <c r="GJ235" i="13"/>
  <c r="GJ130" i="13"/>
  <c r="GJ153" i="13"/>
  <c r="GJ343" i="13"/>
  <c r="GJ348" i="13"/>
  <c r="GJ100" i="13"/>
  <c r="GJ93" i="13"/>
  <c r="GJ106" i="13"/>
  <c r="GJ212" i="13"/>
  <c r="GJ251" i="13"/>
  <c r="GJ185" i="13"/>
  <c r="GJ101" i="13"/>
  <c r="GJ358" i="13"/>
  <c r="GJ51" i="13"/>
  <c r="GJ383" i="13"/>
  <c r="GJ388" i="13"/>
  <c r="GJ382" i="13"/>
  <c r="GJ257" i="13"/>
  <c r="GJ232" i="13"/>
  <c r="GJ333" i="13"/>
  <c r="GJ381" i="13"/>
  <c r="GJ289" i="13"/>
  <c r="GJ227" i="13"/>
  <c r="GJ162" i="13"/>
  <c r="GJ233" i="13"/>
  <c r="GJ119" i="13"/>
  <c r="GJ168" i="13"/>
  <c r="GJ375" i="13"/>
  <c r="GJ334" i="13"/>
  <c r="GJ351" i="13"/>
  <c r="GJ380" i="13"/>
  <c r="GJ236" i="13"/>
  <c r="GJ244" i="13"/>
  <c r="GJ274" i="13"/>
  <c r="GJ113" i="13"/>
  <c r="GJ171" i="13"/>
  <c r="GJ330" i="13"/>
  <c r="GJ60" i="13"/>
  <c r="GJ159" i="13"/>
  <c r="GJ75" i="13"/>
  <c r="GJ294" i="13"/>
  <c r="GJ378" i="13"/>
  <c r="GJ136" i="13"/>
  <c r="GJ303" i="13"/>
  <c r="GJ71" i="13"/>
  <c r="GJ354" i="13"/>
  <c r="GJ237" i="13"/>
  <c r="GJ316" i="13"/>
  <c r="GJ196" i="13"/>
  <c r="GJ302" i="13"/>
  <c r="GJ234" i="13"/>
  <c r="GJ84" i="13"/>
  <c r="GJ191" i="13"/>
  <c r="GJ209" i="13"/>
  <c r="GJ190" i="13"/>
  <c r="GJ186" i="13"/>
  <c r="GJ178" i="13"/>
  <c r="GJ148" i="13"/>
  <c r="GJ37" i="13"/>
  <c r="GJ206" i="13"/>
  <c r="GJ47" i="13"/>
  <c r="GJ217" i="13"/>
  <c r="GJ116" i="13"/>
  <c r="GJ329" i="13"/>
  <c r="GJ160" i="13"/>
  <c r="GJ298" i="13"/>
  <c r="GJ97" i="13"/>
  <c r="GJ222" i="13"/>
  <c r="GJ127" i="13"/>
  <c r="GJ96" i="13"/>
  <c r="GJ245" i="13"/>
  <c r="GJ63" i="13"/>
  <c r="GJ256" i="13"/>
  <c r="GJ115" i="13"/>
  <c r="GJ322" i="13"/>
  <c r="GJ139" i="13"/>
  <c r="GJ98" i="13"/>
  <c r="GJ283" i="13"/>
  <c r="GJ335" i="13"/>
  <c r="GJ123" i="13"/>
  <c r="GJ108" i="13"/>
  <c r="GJ241" i="13"/>
  <c r="GJ379" i="13"/>
  <c r="GJ216" i="13"/>
  <c r="GJ299" i="13"/>
  <c r="GJ155" i="13"/>
  <c r="GJ89" i="13"/>
  <c r="GJ264" i="13"/>
  <c r="GJ69" i="13"/>
  <c r="GJ68" i="13"/>
  <c r="GJ103" i="13"/>
  <c r="GJ99" i="13"/>
  <c r="GJ270" i="13"/>
  <c r="GJ390" i="13"/>
  <c r="GJ110" i="13"/>
  <c r="GJ201" i="13"/>
  <c r="GJ312" i="13"/>
  <c r="GJ40" i="13"/>
  <c r="GJ321" i="13"/>
  <c r="GJ79" i="13"/>
  <c r="GJ215" i="13"/>
  <c r="GJ296" i="13"/>
  <c r="GJ369" i="13"/>
  <c r="GJ92" i="13"/>
  <c r="GJ36" i="13"/>
  <c r="GJ199" i="13"/>
  <c r="GJ363" i="13"/>
  <c r="GJ315" i="13"/>
  <c r="GJ180" i="13"/>
  <c r="GJ174" i="13"/>
  <c r="GJ167" i="13"/>
  <c r="GJ49" i="13"/>
  <c r="GJ384" i="13"/>
  <c r="GJ143" i="13"/>
  <c r="GJ85" i="13"/>
  <c r="GJ365" i="13"/>
  <c r="GJ129" i="13"/>
  <c r="GJ192" i="13"/>
  <c r="GJ357" i="13"/>
  <c r="GJ228" i="13"/>
  <c r="GJ61" i="13"/>
  <c r="GJ318" i="13"/>
  <c r="GJ261" i="13"/>
  <c r="GJ132" i="13"/>
  <c r="GJ347" i="13"/>
  <c r="GJ364" i="13"/>
  <c r="GJ360" i="13"/>
  <c r="GJ70" i="13"/>
  <c r="GJ76" i="13"/>
  <c r="GJ88" i="13"/>
  <c r="GJ287" i="13"/>
  <c r="GJ374" i="13"/>
  <c r="GJ290" i="13"/>
  <c r="GJ39" i="13"/>
  <c r="GJ66" i="13"/>
  <c r="GJ193" i="13"/>
  <c r="GJ309" i="13"/>
  <c r="GJ377" i="13"/>
  <c r="GJ295" i="13"/>
  <c r="GJ337" i="13"/>
  <c r="GJ45" i="13"/>
  <c r="GJ250" i="13"/>
  <c r="GJ352" i="13"/>
  <c r="GJ280" i="13"/>
  <c r="GJ188" i="13"/>
  <c r="GJ198" i="13"/>
  <c r="GJ211" i="13"/>
  <c r="GJ77" i="13"/>
  <c r="GJ311" i="13"/>
  <c r="GJ138" i="13"/>
  <c r="GJ35" i="13"/>
  <c r="GJ353" i="13"/>
  <c r="GJ87" i="13"/>
  <c r="GJ54" i="13"/>
  <c r="GJ133" i="13"/>
  <c r="GJ370" i="13"/>
  <c r="GJ317" i="13"/>
  <c r="GJ224" i="13"/>
  <c r="GJ175" i="13"/>
  <c r="GJ324" i="13"/>
  <c r="GJ361" i="13"/>
  <c r="GJ249" i="13"/>
  <c r="GJ91" i="13"/>
  <c r="GJ73" i="13"/>
  <c r="GJ346" i="13"/>
  <c r="GJ41" i="13"/>
  <c r="GJ42" i="13"/>
  <c r="GJ282" i="13"/>
  <c r="GJ336" i="13"/>
  <c r="GJ126" i="13"/>
  <c r="GJ286" i="13"/>
  <c r="GJ140" i="13"/>
  <c r="GJ221" i="13"/>
  <c r="GJ328" i="13"/>
  <c r="GJ151" i="13"/>
  <c r="GJ210" i="13"/>
  <c r="GJ176" i="13"/>
  <c r="GJ340" i="13"/>
  <c r="GJ376" i="13"/>
  <c r="GJ202" i="13"/>
  <c r="GJ255" i="13"/>
  <c r="GJ179" i="13"/>
  <c r="GJ64" i="13"/>
  <c r="GJ300" i="13"/>
  <c r="GJ165" i="13"/>
  <c r="GJ187" i="13"/>
  <c r="GJ114" i="13"/>
  <c r="GJ53" i="13"/>
  <c r="GJ72" i="13"/>
  <c r="GJ170" i="13"/>
  <c r="GJ207" i="13"/>
  <c r="GJ56" i="13"/>
  <c r="GJ325" i="13"/>
  <c r="GJ152" i="13"/>
  <c r="GJ219" i="13"/>
  <c r="GJ281" i="13"/>
  <c r="GJ271" i="13"/>
  <c r="GJ183" i="13"/>
  <c r="GJ86" i="13"/>
  <c r="GJ172" i="13"/>
  <c r="GJ389" i="13"/>
  <c r="GJ94" i="13"/>
  <c r="GJ213" i="13"/>
  <c r="GJ263" i="13"/>
  <c r="GJ65" i="13"/>
  <c r="GJ349" i="13"/>
  <c r="GJ59" i="13"/>
  <c r="GJ173" i="13"/>
  <c r="GJ242" i="13"/>
  <c r="GJ220" i="13"/>
  <c r="GJ248" i="13"/>
  <c r="GJ82" i="13"/>
  <c r="GJ344" i="13"/>
  <c r="GJ102" i="13"/>
  <c r="GJ350" i="13"/>
  <c r="GJ367" i="13"/>
  <c r="GJ120" i="13"/>
  <c r="GJ48" i="13"/>
  <c r="GJ204" i="13"/>
  <c r="GJ320" i="13"/>
  <c r="GJ223" i="13"/>
  <c r="GJ169" i="13"/>
  <c r="GJ293" i="13"/>
  <c r="GJ149" i="13"/>
  <c r="GJ83" i="13"/>
  <c r="GJ362" i="13"/>
  <c r="GJ243" i="13"/>
  <c r="GJ239" i="13"/>
  <c r="GJ158" i="13"/>
  <c r="GJ341" i="13"/>
  <c r="GJ128" i="13"/>
  <c r="GJ46" i="13"/>
  <c r="GJ387" i="13"/>
  <c r="GJ112" i="13"/>
  <c r="GJ342" i="13"/>
  <c r="GJ166" i="13"/>
  <c r="GJ285" i="13"/>
  <c r="GJ338" i="13"/>
  <c r="GJ238" i="13"/>
  <c r="GJ57" i="13"/>
  <c r="GJ34" i="13"/>
  <c r="GJ200" i="13"/>
  <c r="GJ356" i="13"/>
  <c r="GJ355" i="13"/>
  <c r="GJ247" i="13"/>
  <c r="GJ279" i="13"/>
  <c r="GJ272" i="13"/>
  <c r="GJ307" i="13"/>
  <c r="GJ308" i="13"/>
  <c r="GJ134" i="13"/>
  <c r="GJ161" i="13"/>
  <c r="GJ301" i="13"/>
  <c r="GJ74" i="13"/>
  <c r="GJ305" i="13"/>
  <c r="GJ67" i="13"/>
  <c r="GJ184" i="13"/>
  <c r="GJ154" i="13"/>
  <c r="GJ107" i="13"/>
  <c r="GJ371" i="13"/>
  <c r="GJ254" i="13"/>
  <c r="GJ331" i="13"/>
  <c r="GJ277" i="13"/>
  <c r="GJ118" i="13"/>
  <c r="GJ137" i="13"/>
  <c r="GJ266" i="13"/>
  <c r="GJ269" i="13"/>
  <c r="GJ142" i="13"/>
  <c r="GJ144" i="13"/>
  <c r="GJ292" i="13"/>
  <c r="GJ55" i="13"/>
  <c r="GJ150" i="13"/>
  <c r="GJ38" i="13"/>
  <c r="GJ265" i="13"/>
  <c r="GJ368" i="13"/>
  <c r="GJ385" i="13"/>
  <c r="GJ288" i="13"/>
  <c r="GJ297" i="13"/>
  <c r="GJ181" i="13"/>
  <c r="GJ109" i="13"/>
  <c r="GJ214" i="13"/>
  <c r="GJ332" i="13"/>
  <c r="GJ135" i="13"/>
  <c r="GJ268" i="13"/>
  <c r="GJ58" i="13"/>
  <c r="GJ284" i="13"/>
  <c r="GJ104" i="13"/>
  <c r="GJ229" i="13"/>
  <c r="GJ276" i="13"/>
  <c r="GJ146" i="13"/>
  <c r="GJ111" i="13"/>
  <c r="GJ124" i="13"/>
  <c r="GJ157" i="13"/>
  <c r="GJ208" i="13"/>
  <c r="GJ275" i="13"/>
  <c r="GJ259" i="13"/>
  <c r="GJ78" i="13"/>
  <c r="GJ189" i="13"/>
  <c r="GJ366" i="13"/>
  <c r="GJ117" i="13"/>
  <c r="GJ62" i="13"/>
  <c r="GJ260" i="13"/>
  <c r="GJ81" i="13"/>
  <c r="GJ306" i="13"/>
  <c r="GJ105" i="13"/>
  <c r="GJ205" i="13"/>
  <c r="GJ195" i="13"/>
  <c r="GJ122" i="13"/>
  <c r="GJ291" i="13"/>
  <c r="GJ141" i="13"/>
  <c r="GJ177" i="13"/>
  <c r="GJ43" i="13"/>
  <c r="GJ80" i="13"/>
  <c r="GJ345" i="13"/>
  <c r="GJ253" i="13"/>
  <c r="GJ310" i="13"/>
  <c r="GJ240" i="13"/>
  <c r="GJ252" i="13"/>
  <c r="GJ319" i="13"/>
  <c r="GJ323" i="13"/>
  <c r="GJ197" i="13"/>
  <c r="GJ339" i="13"/>
  <c r="GJ230" i="13"/>
  <c r="GJ304" i="13"/>
  <c r="GJ359" i="13"/>
  <c r="GJ267" i="13"/>
  <c r="GJ313" i="13"/>
  <c r="I34" i="42" l="1"/>
  <c r="HM4" i="13" s="1"/>
  <c r="M34" i="42"/>
  <c r="HO4" i="13" s="1"/>
  <c r="HO5" i="13" s="1"/>
  <c r="HN4" i="13"/>
  <c r="HN5" i="13" s="1"/>
  <c r="HL4" i="13"/>
  <c r="HL5" i="13" s="1"/>
  <c r="HN6" i="13" l="1"/>
  <c r="HN7" i="13"/>
  <c r="HO7" i="13"/>
  <c r="HO6" i="13"/>
  <c r="HL7" i="13"/>
  <c r="HL6" i="13"/>
  <c r="HM6" i="13"/>
  <c r="HM5" i="13"/>
  <c r="HL11" i="13" s="1"/>
  <c r="HM7" i="13"/>
  <c r="HN10" i="13" l="1"/>
  <c r="HP13" i="13"/>
  <c r="HN11" i="13"/>
  <c r="HP12" i="13"/>
  <c r="HP10" i="13"/>
  <c r="HP11" i="13"/>
  <c r="HL10" i="13"/>
  <c r="HL12" i="13"/>
  <c r="HL13" i="13"/>
  <c r="HN13" i="13"/>
  <c r="HN12" i="13"/>
  <c r="D15" i="11" l="1"/>
  <c r="D15"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 Ratjen</author>
  </authors>
  <commentList>
    <comment ref="E45" authorId="0" shapeId="0" xr:uid="{00000000-0006-0000-0400-000001000000}">
      <text>
        <r>
          <rPr>
            <b/>
            <sz val="9"/>
            <color indexed="81"/>
            <rFont val="Tahoma"/>
            <family val="2"/>
          </rPr>
          <t xml:space="preserve">Mittlerer Prozentualer Fehler (MAPE) </t>
        </r>
        <r>
          <rPr>
            <sz val="9"/>
            <color indexed="81"/>
            <rFont val="Tahoma"/>
            <family val="2"/>
          </rPr>
          <t xml:space="preserve">
Durchschnittliche Größe der prozentualen Abweichung zwischen gemessenen und modellierten y-Werten
</t>
        </r>
      </text>
    </comment>
    <comment ref="G45" authorId="0" shapeId="0" xr:uid="{00000000-0006-0000-0400-000002000000}">
      <text>
        <r>
          <rPr>
            <b/>
            <sz val="9"/>
            <color indexed="81"/>
            <rFont val="Tahoma"/>
            <family val="2"/>
          </rPr>
          <t xml:space="preserve">Prüfgröße F:    </t>
        </r>
        <r>
          <rPr>
            <sz val="9"/>
            <color indexed="81"/>
            <rFont val="Tahoma"/>
            <family val="2"/>
          </rPr>
          <t xml:space="preserve">                     Quotient aus Mittlere Quadratsumme der Regression und Mittlere Quadratsumme der Residuen</t>
        </r>
      </text>
    </comment>
    <comment ref="E46" authorId="0" shapeId="0" xr:uid="{00000000-0006-0000-0400-000003000000}">
      <text>
        <r>
          <rPr>
            <b/>
            <sz val="9"/>
            <color indexed="81"/>
            <rFont val="Tahoma"/>
            <family val="2"/>
          </rPr>
          <t xml:space="preserve">Bestimmtheitsmaß: </t>
        </r>
        <r>
          <rPr>
            <sz val="9"/>
            <color indexed="81"/>
            <rFont val="Tahoma"/>
            <family val="2"/>
          </rPr>
          <t xml:space="preserve">Anteil der Summe der erklärten Variation (Regression) um den mittleren y-Wert an der gesamten Variation um den mittleren y-Wert
</t>
        </r>
      </text>
    </comment>
    <comment ref="G46" authorId="0" shapeId="0" xr:uid="{00000000-0006-0000-0400-000004000000}">
      <text>
        <r>
          <rPr>
            <sz val="9"/>
            <color indexed="81"/>
            <rFont val="Tahoma"/>
            <family val="2"/>
          </rPr>
          <t xml:space="preserve">Was ist die Wurzel vom Bestimmtheitsmaß?
</t>
        </r>
      </text>
    </comment>
    <comment ref="H46" authorId="0" shapeId="0" xr:uid="{00000000-0006-0000-0400-000005000000}">
      <text>
        <r>
          <rPr>
            <b/>
            <sz val="9"/>
            <color indexed="81"/>
            <rFont val="Tahoma"/>
            <family val="2"/>
          </rPr>
          <t xml:space="preserve">Regression:                                      </t>
        </r>
        <r>
          <rPr>
            <sz val="9"/>
            <color indexed="81"/>
            <rFont val="Tahoma"/>
            <family val="2"/>
          </rPr>
          <t>Das Modell, mit dem die Gesamtheit der y-Werte modelliert wurden</t>
        </r>
      </text>
    </comment>
    <comment ref="I46" authorId="0" shapeId="0" xr:uid="{00000000-0006-0000-0400-000006000000}">
      <text>
        <r>
          <rPr>
            <b/>
            <sz val="9"/>
            <color indexed="81"/>
            <rFont val="Tahoma"/>
            <family val="2"/>
          </rPr>
          <t xml:space="preserve">Freiheitsgrade der Regression: </t>
        </r>
        <r>
          <rPr>
            <sz val="9"/>
            <color indexed="81"/>
            <rFont val="Tahoma"/>
            <family val="2"/>
          </rPr>
          <t xml:space="preserve">     Anzahl der Nutzen und Einflussgrößen im Modell</t>
        </r>
      </text>
    </comment>
    <comment ref="J46" authorId="0" shapeId="0" xr:uid="{00000000-0006-0000-0400-000007000000}">
      <text>
        <r>
          <rPr>
            <b/>
            <sz val="9"/>
            <color indexed="81"/>
            <rFont val="Tahoma"/>
            <family val="2"/>
          </rPr>
          <t>Quadratsummen der Regression:</t>
        </r>
        <r>
          <rPr>
            <sz val="9"/>
            <color indexed="81"/>
            <rFont val="Tahoma"/>
            <family val="2"/>
          </rPr>
          <t xml:space="preserve"> Summe der quadratischen Abstände der modellierten y-Werte zum mittleren gemessenen y-Wert  (Erklärte Variation um den Mittelwert)</t>
        </r>
      </text>
    </comment>
    <comment ref="K46" authorId="0" shapeId="0" xr:uid="{00000000-0006-0000-0400-000008000000}">
      <text>
        <r>
          <rPr>
            <b/>
            <sz val="9"/>
            <color indexed="81"/>
            <rFont val="Tahoma"/>
            <family val="2"/>
          </rPr>
          <t>Mittlere Quadratsumme der Regression:</t>
        </r>
        <r>
          <rPr>
            <sz val="9"/>
            <color indexed="81"/>
            <rFont val="Tahoma"/>
            <family val="2"/>
          </rPr>
          <t xml:space="preserve">  Quotient aus Quadratsummen der Regression und der Freiheitsgrade</t>
        </r>
      </text>
    </comment>
    <comment ref="E47" authorId="0" shapeId="0" xr:uid="{00000000-0006-0000-0400-000009000000}">
      <text>
        <r>
          <rPr>
            <b/>
            <sz val="9"/>
            <color indexed="81"/>
            <rFont val="Tahoma"/>
            <family val="2"/>
          </rPr>
          <t xml:space="preserve">Adjustiertes Bestimmtheitsmaß: </t>
        </r>
        <r>
          <rPr>
            <sz val="9"/>
            <color indexed="81"/>
            <rFont val="Tahoma"/>
            <family val="2"/>
          </rPr>
          <t xml:space="preserve">
Größe des Bestimmtheitsmaßes unter Berücksichtigung der Anzahl einbezogener Variablen: Bei mehr als einer Variablen entscheidend</t>
        </r>
      </text>
    </comment>
    <comment ref="G47" authorId="0" shapeId="0" xr:uid="{00000000-0006-0000-0400-00000A000000}">
      <text>
        <r>
          <rPr>
            <sz val="9"/>
            <color indexed="81"/>
            <rFont val="Tahoma"/>
            <family val="2"/>
          </rPr>
          <t xml:space="preserve">Was ist die Wurzel aus dem Quotienten zwischen Quadratsummen und Freiheitsgraden der Fehler (Residuen)?
</t>
        </r>
      </text>
    </comment>
    <comment ref="H47" authorId="0" shapeId="0" xr:uid="{00000000-0006-0000-0400-00000B000000}">
      <text>
        <r>
          <rPr>
            <b/>
            <sz val="9"/>
            <color indexed="81"/>
            <rFont val="Tahoma"/>
            <family val="2"/>
          </rPr>
          <t xml:space="preserve">Residue (Fehler): </t>
        </r>
        <r>
          <rPr>
            <sz val="9"/>
            <color indexed="81"/>
            <rFont val="Tahoma"/>
            <family val="2"/>
          </rPr>
          <t xml:space="preserve">                   ungeklärter Rest, die Lücke zwischen den gesamten gemessenen y-Werten und den modellierten y-Werten</t>
        </r>
      </text>
    </comment>
    <comment ref="I47" authorId="0" shapeId="0" xr:uid="{00000000-0006-0000-0400-00000C000000}">
      <text>
        <r>
          <rPr>
            <b/>
            <sz val="9"/>
            <color indexed="81"/>
            <rFont val="Tahoma"/>
            <family val="2"/>
          </rPr>
          <t xml:space="preserve">Freiheitsgrade der Residuen (Fehler):             </t>
        </r>
        <r>
          <rPr>
            <sz val="9"/>
            <color indexed="81"/>
            <rFont val="Tahoma"/>
            <family val="2"/>
          </rPr>
          <t>Anzahl der Beobachtungen minus Anzahl der Nutzen und Einflussgrößen minus 1.</t>
        </r>
      </text>
    </comment>
    <comment ref="J47" authorId="0" shapeId="0" xr:uid="{00000000-0006-0000-0400-00000D000000}">
      <text>
        <r>
          <rPr>
            <b/>
            <sz val="9"/>
            <color indexed="81"/>
            <rFont val="Tahoma"/>
            <family val="2"/>
          </rPr>
          <t xml:space="preserve">Quadratsummen der Residuen (Fehler): </t>
        </r>
        <r>
          <rPr>
            <sz val="9"/>
            <color indexed="81"/>
            <rFont val="Tahoma"/>
            <family val="2"/>
          </rPr>
          <t xml:space="preserve">                    Summe der quadratischen Abstände der modellierten y-Werte zu den gemessenen y-Werten (Restvariation)</t>
        </r>
      </text>
    </comment>
    <comment ref="K47" authorId="0" shapeId="0" xr:uid="{00000000-0006-0000-0400-00000E000000}">
      <text>
        <r>
          <rPr>
            <b/>
            <sz val="9"/>
            <color indexed="81"/>
            <rFont val="Tahoma"/>
            <family val="2"/>
          </rPr>
          <t>Mittlere Quadratsumme der Residuen:</t>
        </r>
        <r>
          <rPr>
            <sz val="9"/>
            <color indexed="81"/>
            <rFont val="Tahoma"/>
            <family val="2"/>
          </rPr>
          <t xml:space="preserve">  
Quotient aus Quadratsummen der Residuen und der Freiheitsgrade</t>
        </r>
      </text>
    </comment>
    <comment ref="E48" authorId="0" shapeId="0" xr:uid="{00000000-0006-0000-0400-00000F000000}">
      <text>
        <r>
          <rPr>
            <b/>
            <sz val="9"/>
            <color indexed="81"/>
            <rFont val="Tahoma"/>
            <family val="2"/>
          </rPr>
          <t>P-Wert (Fkrit)</t>
        </r>
        <r>
          <rPr>
            <sz val="9"/>
            <color indexed="81"/>
            <rFont val="Tahoma"/>
            <family val="2"/>
          </rPr>
          <t xml:space="preserve">
Wahrscheinlichkeit, mit der hier rein zufällig ein Modell mit diesem Bestimmtheitsmaß gebildet würde
</t>
        </r>
      </text>
    </comment>
    <comment ref="G48" authorId="0" shapeId="0" xr:uid="{00000000-0006-0000-0400-000010000000}">
      <text>
        <r>
          <rPr>
            <sz val="9"/>
            <color indexed="81"/>
            <rFont val="Tahoma"/>
            <family val="2"/>
          </rPr>
          <t>Wie viele Messzeiträume wurden betrachtet?</t>
        </r>
      </text>
    </comment>
    <comment ref="H48" authorId="0" shapeId="0" xr:uid="{00000000-0006-0000-0400-000011000000}">
      <text>
        <r>
          <rPr>
            <b/>
            <sz val="9"/>
            <color indexed="81"/>
            <rFont val="Tahoma"/>
            <family val="2"/>
          </rPr>
          <t xml:space="preserve">Gesamt:                                      </t>
        </r>
        <r>
          <rPr>
            <sz val="9"/>
            <color indexed="81"/>
            <rFont val="Tahoma"/>
            <family val="2"/>
          </rPr>
          <t>Gesamtheit der gemessenen y-Werte</t>
        </r>
      </text>
    </comment>
    <comment ref="I48" authorId="0" shapeId="0" xr:uid="{00000000-0006-0000-0400-000012000000}">
      <text>
        <r>
          <rPr>
            <b/>
            <sz val="9"/>
            <color indexed="81"/>
            <rFont val="Tahoma"/>
            <family val="2"/>
          </rPr>
          <t xml:space="preserve">Freiheitsgrade Gesamt:
</t>
        </r>
        <r>
          <rPr>
            <sz val="9"/>
            <color indexed="81"/>
            <rFont val="Tahoma"/>
            <family val="2"/>
          </rPr>
          <t>Anzahl der Beobachtungen minus 1</t>
        </r>
      </text>
    </comment>
    <comment ref="J48" authorId="0" shapeId="0" xr:uid="{00000000-0006-0000-0400-000013000000}">
      <text>
        <r>
          <rPr>
            <b/>
            <sz val="9"/>
            <color indexed="81"/>
            <rFont val="Tahoma"/>
            <family val="2"/>
          </rPr>
          <t xml:space="preserve">Quadratsummen Gesamt: </t>
        </r>
        <r>
          <rPr>
            <sz val="9"/>
            <color indexed="81"/>
            <rFont val="Tahoma"/>
            <family val="2"/>
          </rPr>
          <t>Summe der quadratischen Abstände der gemessenen y-Werte zum gemessenen mittleren y-Wert (Gesamtvariation um den Mittelwert)</t>
        </r>
      </text>
    </comment>
    <comment ref="K48" authorId="0" shapeId="0" xr:uid="{00000000-0006-0000-0400-000014000000}">
      <text>
        <r>
          <rPr>
            <b/>
            <sz val="9"/>
            <color indexed="81"/>
            <rFont val="Tahoma"/>
            <family val="2"/>
          </rPr>
          <t>Mittlere Variation Gesamt:</t>
        </r>
        <r>
          <rPr>
            <sz val="9"/>
            <color indexed="81"/>
            <rFont val="Tahoma"/>
            <family val="2"/>
          </rPr>
          <t xml:space="preserve">  
Quotient aus Gesamter Variation und der Freiheitsgrade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r2d2</author>
  </authors>
  <commentList>
    <comment ref="B24" authorId="0" shapeId="0" xr:uid="{00000000-0006-0000-0B00-000001000000}">
      <text>
        <r>
          <rPr>
            <b/>
            <sz val="9"/>
            <color indexed="81"/>
            <rFont val="Tahoma"/>
            <family val="2"/>
          </rPr>
          <t>r2d2:</t>
        </r>
        <r>
          <rPr>
            <sz val="9"/>
            <color indexed="81"/>
            <rFont val="Tahoma"/>
            <family val="2"/>
          </rPr>
          <t xml:space="preserve">
</t>
        </r>
      </text>
    </comment>
  </commentList>
</comments>
</file>

<file path=xl/sharedStrings.xml><?xml version="1.0" encoding="utf-8"?>
<sst xmlns="http://schemas.openxmlformats.org/spreadsheetml/2006/main" count="705" uniqueCount="623">
  <si>
    <t>AN</t>
  </si>
  <si>
    <t>AUS</t>
  </si>
  <si>
    <t>Linear</t>
  </si>
  <si>
    <t>Name Aufwand:</t>
  </si>
  <si>
    <t>Exponent 2.Grad</t>
  </si>
  <si>
    <t>Kennzeichnung Aktiv/Inaktiv-&gt;</t>
  </si>
  <si>
    <t>je nach Auswahl</t>
  </si>
  <si>
    <t>Wurzel 2.Grad</t>
  </si>
  <si>
    <t>Einheit Aufwand:</t>
  </si>
  <si>
    <t>Bestimmtheitsmaß</t>
  </si>
  <si>
    <t>P-Wert</t>
  </si>
  <si>
    <t>AUSGABE: ZUSAMMENFASSUNG</t>
  </si>
  <si>
    <t>Regressions-Statistik</t>
  </si>
  <si>
    <t>Multipler Korrelationskoeffizient</t>
  </si>
  <si>
    <t>Adjustiertes Bestimmtheitsmaß</t>
  </si>
  <si>
    <t>Standardfehler</t>
  </si>
  <si>
    <t>Beobachtungen</t>
  </si>
  <si>
    <t>ANOVA</t>
  </si>
  <si>
    <t>Regression</t>
  </si>
  <si>
    <t>Residue</t>
  </si>
  <si>
    <t>Gesamt</t>
  </si>
  <si>
    <t>Schnittpunkt</t>
  </si>
  <si>
    <t>Freiheitsgrade (df)</t>
  </si>
  <si>
    <t>Quadratsummen (SS)</t>
  </si>
  <si>
    <t>Mittlere Quadratsumme (MS)</t>
  </si>
  <si>
    <t>Prüfgröße (F)</t>
  </si>
  <si>
    <t>F krit</t>
  </si>
  <si>
    <t>Koeffizienten</t>
  </si>
  <si>
    <t>t-Statistik</t>
  </si>
  <si>
    <t>Untere 95%</t>
  </si>
  <si>
    <t>Obere 95%</t>
  </si>
  <si>
    <t>Exponent</t>
  </si>
  <si>
    <t>X Variable 1</t>
  </si>
  <si>
    <t>]</t>
  </si>
  <si>
    <t>y (Messung Anteil.sim) [</t>
  </si>
  <si>
    <t>Diagrammlegenden</t>
  </si>
  <si>
    <t>Baukasten für Legenden</t>
  </si>
  <si>
    <t>Schnittpunkt fake  x-Werte</t>
  </si>
  <si>
    <t>Baseline</t>
  </si>
  <si>
    <t>Summenfehler</t>
  </si>
  <si>
    <t>[</t>
  </si>
  <si>
    <t>/</t>
  </si>
  <si>
    <t>x (Messung) [</t>
  </si>
  <si>
    <t>+</t>
  </si>
  <si>
    <t>VAR</t>
  </si>
  <si>
    <t>Exp</t>
  </si>
  <si>
    <t>spalte</t>
  </si>
  <si>
    <t>Spalte hier</t>
  </si>
  <si>
    <t>Aus raus</t>
  </si>
  <si>
    <t>kkleinste</t>
  </si>
  <si>
    <t>Monitoring</t>
  </si>
  <si>
    <t>Betrag Abweichung</t>
  </si>
  <si>
    <t>BA</t>
  </si>
  <si>
    <t>Formel x-bereich</t>
  </si>
  <si>
    <t>Formel y-bereich</t>
  </si>
  <si>
    <t>x</t>
  </si>
  <si>
    <t>y</t>
  </si>
  <si>
    <t>Summen-&gt;</t>
  </si>
  <si>
    <t>B</t>
  </si>
  <si>
    <t>a</t>
  </si>
  <si>
    <t>Quelldaten und Grundeinstellungen für Modellentwicklung eingeben</t>
  </si>
  <si>
    <t>Abfrage</t>
  </si>
  <si>
    <t>Hier eine Übersicht im DIN A 4 Format einfügen!</t>
  </si>
  <si>
    <t>Quelldaten für das Monitoring eingeben</t>
  </si>
  <si>
    <t>Dia.y.Me</t>
  </si>
  <si>
    <t>Dia.y.Mo</t>
  </si>
  <si>
    <t>Dia.y1.Me</t>
  </si>
  <si>
    <t>Dia.y1.Mo</t>
  </si>
  <si>
    <t>Dia.y2.Me</t>
  </si>
  <si>
    <t>Dia.y2.Mo</t>
  </si>
  <si>
    <t>Dia.y3.Me</t>
  </si>
  <si>
    <t>Dia.y3.Mo</t>
  </si>
  <si>
    <t>Dia.y4.Me</t>
  </si>
  <si>
    <t>Dia.y4.Mo</t>
  </si>
  <si>
    <t>Diagramme</t>
  </si>
  <si>
    <t>Spalte in Daten</t>
  </si>
  <si>
    <t>Zuordnung</t>
  </si>
  <si>
    <t>Ermittlung Exponent</t>
  </si>
  <si>
    <t xml:space="preserve">Selection </t>
  </si>
  <si>
    <t>Auswahl Drop-Down</t>
  </si>
  <si>
    <t>Markierung aktiv</t>
  </si>
  <si>
    <t>Zusatzlinien</t>
  </si>
  <si>
    <t>y1 Messung im Dreisatz</t>
  </si>
  <si>
    <t>Schnittpunkt ME Dreisatz</t>
  </si>
  <si>
    <t>y4 Messung im Dreisatz</t>
  </si>
  <si>
    <t>y3 Messung im Dreisatz</t>
  </si>
  <si>
    <t>y2 Messung im Dreisatz</t>
  </si>
  <si>
    <t>Markierung</t>
  </si>
  <si>
    <t>automatisiert</t>
  </si>
  <si>
    <t>bis Ende</t>
  </si>
  <si>
    <t>D) Vergleich</t>
  </si>
  <si>
    <t>↓ Druckbereich in DIN A4 querformat</t>
  </si>
  <si>
    <t>Stunde</t>
  </si>
  <si>
    <t>Gemessener gegenüber modelliertem Lastgang</t>
  </si>
  <si>
    <t>Untere 95,0%</t>
  </si>
  <si>
    <t>Obere 95,0%</t>
  </si>
  <si>
    <t>Mo-dynomische bereiche V</t>
  </si>
  <si>
    <t>Mo-dynomische bereiche B</t>
  </si>
  <si>
    <t>BL-dynomische bereiche.Regression</t>
  </si>
  <si>
    <t>in den Grenzen?</t>
  </si>
  <si>
    <t>N</t>
  </si>
  <si>
    <t>Georg Ratjen</t>
  </si>
  <si>
    <t>Summe</t>
  </si>
  <si>
    <t>Einsparung</t>
  </si>
  <si>
    <t>Monat</t>
  </si>
  <si>
    <t/>
  </si>
  <si>
    <t>Tag</t>
  </si>
  <si>
    <t>Woche</t>
  </si>
  <si>
    <t>Zeitbezug</t>
  </si>
  <si>
    <t>Sensitivität</t>
  </si>
  <si>
    <t>MAPE</t>
  </si>
  <si>
    <t>y modell</t>
  </si>
  <si>
    <t>Zusätzliche Analyse</t>
  </si>
  <si>
    <t>Toleranz</t>
  </si>
  <si>
    <t>Im Zeitraum</t>
  </si>
  <si>
    <t>in zelle g7 war noch "-1" Am Ende der Formel. Jetzt weg</t>
  </si>
  <si>
    <t>für den Zeitabschnitt</t>
  </si>
  <si>
    <t>Werte Messung und Modell im ausgewählten Zeitraum</t>
  </si>
  <si>
    <t>Name</t>
  </si>
  <si>
    <t>Einheit</t>
  </si>
  <si>
    <t>Unterschied</t>
  </si>
  <si>
    <t>CUSUM Einsparungen (Steigung+) bzw. Mehrverbrauch (Steigung-)</t>
  </si>
  <si>
    <t>Koeffizient</t>
  </si>
  <si>
    <t>y (Baseline Anteil) [</t>
  </si>
  <si>
    <t>Regressionsterm</t>
  </si>
  <si>
    <t>Zwischenrechnung</t>
  </si>
  <si>
    <t>Betrag (ymessung-ymodell)/y(messung)</t>
  </si>
  <si>
    <t>(ymessung - ymodell)²</t>
  </si>
  <si>
    <t>y-Mittelwert Baseline</t>
  </si>
  <si>
    <t>CVRMSE</t>
  </si>
  <si>
    <t>Statistische Prüfwerte zum Regressionsmodell insgesamt:</t>
  </si>
  <si>
    <t>Prüfgröße F (F-Test)</t>
  </si>
  <si>
    <t>Variation</t>
  </si>
  <si>
    <t>Mittlere Variation</t>
  </si>
  <si>
    <t>Variationsanalyse</t>
  </si>
  <si>
    <t>Konfidenzintervall</t>
  </si>
  <si>
    <t>Maximale Unschärfe des Koeffizienten in 95% der Fälle</t>
  </si>
  <si>
    <t>Abkürzung</t>
  </si>
  <si>
    <t>Statistische Prüfwerte für die Koeffizienten</t>
  </si>
  <si>
    <t>Schnittpunkt (konstant)</t>
  </si>
  <si>
    <t>Koeffizienten für die Variablen und die Konstante des Regressionsmodells</t>
  </si>
  <si>
    <t>)</t>
  </si>
  <si>
    <t>P-Wert:</t>
  </si>
  <si>
    <t>-</t>
  </si>
  <si>
    <t>X Variable 8</t>
  </si>
  <si>
    <t>Report: Baseline - Messung</t>
  </si>
  <si>
    <t>Größte Einsparung</t>
  </si>
  <si>
    <t>&gt;=0</t>
  </si>
  <si>
    <t>&lt;0</t>
  </si>
  <si>
    <t>Zweitgrößte Einsparung</t>
  </si>
  <si>
    <t>Kleinste Einsparung</t>
  </si>
  <si>
    <t>Zweitkleinste Einsparung</t>
  </si>
  <si>
    <t>Niedrigster Mehrverbrauch</t>
  </si>
  <si>
    <t>Zweitniedrigster Mehrverbrauch</t>
  </si>
  <si>
    <t>Höchster Mehrverbrauch</t>
  </si>
  <si>
    <t>Zweithöchster Mehrverbrauch</t>
  </si>
  <si>
    <t>Abs</t>
  </si>
  <si>
    <t>Größte Abweichung</t>
  </si>
  <si>
    <t>Zweitgrößte Abweichung</t>
  </si>
  <si>
    <t>Kleinste Abweichung</t>
  </si>
  <si>
    <t>Zweitkleinste Abweichung</t>
  </si>
  <si>
    <t>(ymodell-ymittel)^2</t>
  </si>
  <si>
    <t>(ymessung-ymittel)²</t>
  </si>
  <si>
    <t>QS</t>
  </si>
  <si>
    <t>R²</t>
  </si>
  <si>
    <t>Res</t>
  </si>
  <si>
    <t>Reg</t>
  </si>
  <si>
    <t>Ges</t>
  </si>
  <si>
    <t>Zeiten mit größten Unterschieden</t>
  </si>
  <si>
    <t>ÖKOTEC Trainingstool</t>
  </si>
  <si>
    <t>Kein Blattschutz: keine Formeln ändern!</t>
  </si>
  <si>
    <t>.</t>
  </si>
  <si>
    <t>You should</t>
  </si>
  <si>
    <t>Messdauer ab Zeitangabe</t>
  </si>
  <si>
    <t>ymessung-ymodell</t>
  </si>
  <si>
    <t>Graphische Prüfung: y-Modell und y-Messung</t>
  </si>
  <si>
    <t>Bezeichnung in Modell</t>
  </si>
  <si>
    <t>Wahrscheinlichkeit, dass sich Koeffizient rein zufällig so ergibt.</t>
  </si>
  <si>
    <t>Koeffizient, der als Multiplikator verwendet wird</t>
  </si>
  <si>
    <t>, dabei war Messdauer ab Zeitangabe jeweils:</t>
  </si>
  <si>
    <t>Bei guten Modellen sollte hier ein guter linearer Verlauf durch den Ursprung erkennbar sein.</t>
  </si>
  <si>
    <t>Standardabweichung (Residuen)</t>
  </si>
  <si>
    <t>X Variable 2</t>
  </si>
  <si>
    <t>X Variable 3</t>
  </si>
  <si>
    <t>not be here!</t>
  </si>
  <si>
    <t>Art des Reports:</t>
  </si>
  <si>
    <t>Zeit</t>
  </si>
  <si>
    <t>Regressionsmodell (aufgrund Analyse Datensatz von/bis:</t>
  </si>
  <si>
    <t>Relevanten Variablen und Konstante</t>
  </si>
  <si>
    <t>English</t>
  </si>
  <si>
    <t>Nutzen</t>
  </si>
  <si>
    <t>Aufwand</t>
  </si>
  <si>
    <t>Weitere externe Einflussgrößen</t>
  </si>
  <si>
    <t>(nützliche Produktion)</t>
  </si>
  <si>
    <t>(z. B. Produktion anderer Produkte, Umgebungstemperaturen)</t>
  </si>
  <si>
    <t>2) Modell berechnen und auf Eignung prüfen</t>
  </si>
  <si>
    <t>3) Daten zum Monitoring eingeben</t>
  </si>
  <si>
    <t>4) Auswertung und Report</t>
  </si>
  <si>
    <t>Einsparung(+) bzw. Mehrverbrauch(-)</t>
  </si>
  <si>
    <t>Notizen:</t>
  </si>
  <si>
    <t>Effizienzveränderung</t>
  </si>
  <si>
    <t>Use in cell</t>
  </si>
  <si>
    <t>Modell</t>
  </si>
  <si>
    <t>Messung</t>
  </si>
  <si>
    <t>Baseline von</t>
  </si>
  <si>
    <t>(Energieeinsatz)</t>
  </si>
  <si>
    <t>Daten -&gt; Datenanalyse -&gt; Regression auswählen, Zeichen aus blauen Zellen in die gleichlautenden Felder eingeben, "Beschriftungen" nicht aktivieren!</t>
  </si>
  <si>
    <t>Input Y Range</t>
  </si>
  <si>
    <t>Input X Range</t>
  </si>
  <si>
    <t>Output Range</t>
  </si>
  <si>
    <t>Konfidenz bei 95%</t>
  </si>
  <si>
    <t>Modellprüfung</t>
  </si>
  <si>
    <t>P-Wert (F krit)</t>
  </si>
  <si>
    <t>Adjustiertes R²</t>
  </si>
  <si>
    <t>Deutsch</t>
  </si>
  <si>
    <t>Enter Data and Basic Settings</t>
  </si>
  <si>
    <t>Timeframe from Measurement</t>
  </si>
  <si>
    <t>Baseline from</t>
  </si>
  <si>
    <t>Effort</t>
  </si>
  <si>
    <t>(Energy Input)</t>
  </si>
  <si>
    <t>Unit</t>
  </si>
  <si>
    <t>Benefit</t>
  </si>
  <si>
    <t>(useable production)</t>
  </si>
  <si>
    <t>Further external Influences</t>
  </si>
  <si>
    <t>(e. g. Production of other Products, Ambient Temperatures)</t>
  </si>
  <si>
    <t>No Table Protection: Don´t change Formulas!</t>
  </si>
  <si>
    <t>Select "Data" -&gt; "Data Analysis" -&gt; "Regression" and simply type in "Input Y Range" an "y",  in "Input X Range" an "x". Further select "Output Range" and type in an "a". Don´t change further settings</t>
  </si>
  <si>
    <t>Regression Modell (on basis of Data Analysis from/to:</t>
  </si>
  <si>
    <t>, basis for Data Analysis were Periods of:</t>
  </si>
  <si>
    <t>Grafical Evaluation: y-Modell and y-Measurement</t>
  </si>
  <si>
    <t>Good Models should show a good linear Correspondence</t>
  </si>
  <si>
    <t>Statistical Evaluators on the whole Regression Model</t>
  </si>
  <si>
    <t>Adjusten R²</t>
  </si>
  <si>
    <t>P-Value (F crit)</t>
  </si>
  <si>
    <t>F-Value (F-Test)</t>
  </si>
  <si>
    <t>Multiple coefficient of correlation</t>
  </si>
  <si>
    <t>Standard Deviation</t>
  </si>
  <si>
    <t>Observations</t>
  </si>
  <si>
    <t>Analysis of Variation</t>
  </si>
  <si>
    <t>Residuals</t>
  </si>
  <si>
    <t>Alltogether</t>
  </si>
  <si>
    <t>Areas of Freedom (df)</t>
  </si>
  <si>
    <t>Mean Variation</t>
  </si>
  <si>
    <t>Coefficient for Variables an the Constant Value of the Regression Model</t>
  </si>
  <si>
    <t>Relevant Variables and Constant Value</t>
  </si>
  <si>
    <t>Names of the Relevant Variables</t>
  </si>
  <si>
    <t>Bezeichnung der Relevanten Variablen (Nutzen und externe Einflussgrößen)</t>
  </si>
  <si>
    <t>Short Name</t>
  </si>
  <si>
    <t>Name in Model</t>
  </si>
  <si>
    <t>Coefficient</t>
  </si>
  <si>
    <t>Coefficient, that is used as multiplier</t>
  </si>
  <si>
    <t>confidence intervall</t>
  </si>
  <si>
    <t>maximum Uncertanty in 95% of the cases</t>
  </si>
  <si>
    <t>P-Value:</t>
  </si>
  <si>
    <t xml:space="preserve">Probability, that this Coefficient is only incidently </t>
  </si>
  <si>
    <t>t-statistics</t>
  </si>
  <si>
    <t>Constant Value</t>
  </si>
  <si>
    <t>Data for Monitoring</t>
  </si>
  <si>
    <t>Type of Report:</t>
  </si>
  <si>
    <t>for the Period</t>
  </si>
  <si>
    <t>until End</t>
  </si>
  <si>
    <t>Comparison: Measured and modelled Load profile</t>
  </si>
  <si>
    <t>Values of Measurements and Modell in the selected Period</t>
  </si>
  <si>
    <t>Times with highest Difference</t>
  </si>
  <si>
    <t>Savings (+) and additional Comsumption (-)</t>
  </si>
  <si>
    <t>Notices:</t>
  </si>
  <si>
    <t>Change of Energy Efficiency</t>
  </si>
  <si>
    <t>Measurement</t>
  </si>
  <si>
    <t>Difference</t>
  </si>
  <si>
    <t>Confidence at 95%</t>
  </si>
  <si>
    <t>Cumulated Error</t>
  </si>
  <si>
    <t>CUSUM as Cumulated Sum of Changes in Energy Consumption</t>
  </si>
  <si>
    <t>Evaluation of Model</t>
  </si>
  <si>
    <t>Don´t move or cut and paste cells. This would destroy the tool. Instead: Copy, paste and delete</t>
  </si>
  <si>
    <t>"Verschieben" und "Ausschneiden und Einfügen" führt zu falschen Zellbezügen. "Kopieren, Einfügen und Löschen" ist in Ordnung</t>
  </si>
  <si>
    <t>Report</t>
  </si>
  <si>
    <t>Name of the System to be monitored</t>
  </si>
  <si>
    <t>Energy Savings target in comparison to Reference Situation</t>
  </si>
  <si>
    <t>People Responsible for achievement of that Target</t>
  </si>
  <si>
    <t>Name des Systems</t>
  </si>
  <si>
    <t>Ziele zur Energieeinsparung im Vergleich zur Referenz</t>
  </si>
  <si>
    <t>Verantwortliche Personen für die Zielerreichung</t>
  </si>
  <si>
    <t>Sprache auswählen</t>
  </si>
  <si>
    <t>Select Language</t>
  </si>
  <si>
    <t>Español</t>
  </si>
  <si>
    <t>Francés</t>
  </si>
  <si>
    <t>Nederlands</t>
  </si>
  <si>
    <t>↓ Printing area in DIN A4 square format</t>
  </si>
  <si>
    <t>Savings target was</t>
  </si>
  <si>
    <t>Das Einsparziel lag bei</t>
  </si>
  <si>
    <t>Savings target was overachieved in this Period</t>
  </si>
  <si>
    <t>Savings target was achieved in this Period</t>
  </si>
  <si>
    <t>Das Einsparziel wurde in diesem Zeitraum übererfüllt</t>
  </si>
  <si>
    <t>Das Einsparziel wurde in diesem Zeitraum erreicht</t>
  </si>
  <si>
    <t>Das Einsparzeil wurde in diesem Zeitraum noch nicht erreicht</t>
  </si>
  <si>
    <t>Savings target was not yet achieved in this Period</t>
  </si>
  <si>
    <t>Calculate Modell and Evaluate Usability</t>
  </si>
  <si>
    <t>Enter Data for Monitoring</t>
  </si>
  <si>
    <t>Evaluation and Report</t>
  </si>
  <si>
    <t>Questions? Contact Author:</t>
  </si>
  <si>
    <t>Fragen? Autor kontaktieren:</t>
  </si>
  <si>
    <t>Compressed Air Station</t>
  </si>
  <si>
    <t>Simon</t>
  </si>
  <si>
    <t>Marie</t>
  </si>
  <si>
    <t>Igor</t>
  </si>
  <si>
    <t>not Georg</t>
  </si>
  <si>
    <t>Mareike</t>
  </si>
  <si>
    <t>Sabine</t>
  </si>
  <si>
    <t>Energy Target Tracker</t>
  </si>
  <si>
    <t>Energieziel Auswerter</t>
  </si>
  <si>
    <t>Enter Data for Reference Situation</t>
  </si>
  <si>
    <t>Daten zur Referenz</t>
  </si>
  <si>
    <t>Jedes Mal, wenn im Blatt "Reference" Änderungen vorgenommen werden, ist dieser Schritt zu wiederholen! Sonst werden Ergebnisse falsch!</t>
  </si>
  <si>
    <t>Every Time, when Data or Settings are changed in table "Reference", you need repeat this Step! Otherwise Results will be wrong!</t>
  </si>
  <si>
    <t>Disclaimer</t>
  </si>
  <si>
    <t>Haftungsausschluss</t>
  </si>
  <si>
    <t xml:space="preserve">Urheberrecht und Nutzungsrechte:     </t>
  </si>
  <si>
    <t>Copyright and rights of use</t>
  </si>
  <si>
    <t>Autor</t>
  </si>
  <si>
    <t>E-Mail</t>
  </si>
  <si>
    <t>Author</t>
  </si>
  <si>
    <t>Georg.Ratjen@oekotec.de</t>
  </si>
  <si>
    <t>Presettings for Calculation:</t>
  </si>
  <si>
    <t>Activate Data Analysis Toolkit in Excel:</t>
  </si>
  <si>
    <t>https://support.office.com/en-us/article/load-the-analysis-toolpak-in-excel-6a63e598-cd6d-42e3-9317-6b40ba1a66b4</t>
  </si>
  <si>
    <t>Voreinstellungen für die Berechnungen</t>
  </si>
  <si>
    <t>Aktivieren Sie die Excel Datenanalyse</t>
  </si>
  <si>
    <t>for the System:</t>
  </si>
  <si>
    <t>für das System:</t>
  </si>
  <si>
    <t>Period from/to:</t>
  </si>
  <si>
    <t>Zeitraum von/bis:</t>
  </si>
  <si>
    <t>The use of this software is intended exclusively for training purposes within the framework of the INDUCE project.
No liability is assumed for the results/calculations, unless ÖKOTEC has acted with intent or gross negligence in providing the results.</t>
  </si>
  <si>
    <t>Die Verwendung dieser Software ist ausschließlich zu Zwecken der Schulung im Rahmen der Projekts INDUCE bestimmt.
Eine Haftung für die Ergebnisse/Berechnungen wird nicht übernommen, sofern in der Bereitstellung des Ergebnisses kein Vorsatz oder grobe Fahrlässigkeit von Seiten ÖKOTEC liegt.</t>
  </si>
  <si>
    <t>All copyrights for this software are held by ÖKOTEC Energiemanagement GmbH, Torgauer Straße 12-15, 10829 Berlin, Germany, which developed this software as part of the INDUCE project. The participants of trainings in which this tool is used are allowed to continue using this software within their own company. The use for consulting of third parties is not permitted. Changes to the tool may not be made without the express prior consent of ÖKOTEC Energiemanagement GmbH. The transfer of this software to third parties outside the INDUCE project is not permitted without the express prior consent of ÖKOTEC Energiemanagement GmbH.</t>
  </si>
  <si>
    <t xml:space="preserve">Alle Urheberrechte für diese Software liegen bei der Firma ÖKOTEC Energiemanagement GmbH, Torgauer Straße 12-15, 10829 Berlin, die diese Software im Rahmen des INDUCE Projekts entwickelt hat. Den Teilnehmerinnen und Teilnehmern von Trainings, in denen dieses Tool eingesetzt wird, wird die weitere Nutzung dieser Software innerhalb ihres eigenen Unternehmens gestattet. Der Einsatz für die Beratung von Dritten ist nicht zugelassen. Veränderungen am Tool dürfen nicht ohne ausdrückliche vorherige Zustimmung von Seiten der ÖKOTEC Energiemanagement GmbH vorgenommen werden. Eine Weitergabe dieser Software an Dritte außerhalb des INDUCE Projekts ist nicht ohne ausdrückliche vorherige Zustimmung von Seiten der ÖKOTEC Energiemanagement GmbH gestattet.
</t>
  </si>
  <si>
    <t>Production (amount)</t>
  </si>
  <si>
    <t>Heating degree Days</t>
  </si>
  <si>
    <t>Days since last external Maintenance</t>
  </si>
  <si>
    <t>Gas Consumtion (MWh)</t>
  </si>
  <si>
    <t>Taal selecteren</t>
  </si>
  <si>
    <t>Naam van het te monitoren systeem</t>
  </si>
  <si>
    <t>Energiedoel monitor</t>
  </si>
  <si>
    <t xml:space="preserve">Energiebesparingsdoel in vergelijking tot referentie situatie </t>
  </si>
  <si>
    <t xml:space="preserve">Personen verantwoordelijk voor de realisatie van het doel </t>
  </si>
  <si>
    <t>Vragen? Contact auteur</t>
  </si>
  <si>
    <t>Voorinstellingen ten behoeve van de berekeningen</t>
  </si>
  <si>
    <t>Activeer de Data Analyse Toolkit in Excel</t>
  </si>
  <si>
    <t>Voer referentiedata in</t>
  </si>
  <si>
    <t>Cellen niet verplaatsen of knippen of plakken. Dit verstoort de werking van de tool. Gekopieerde tekst invoegen kan wel.</t>
  </si>
  <si>
    <t>Invullen data en basisinstellingen</t>
  </si>
  <si>
    <t>Perioden</t>
  </si>
  <si>
    <t>Periode waarover gemeten wordt</t>
  </si>
  <si>
    <t>tot</t>
  </si>
  <si>
    <t>Basislijn van</t>
  </si>
  <si>
    <t>Inspanning</t>
  </si>
  <si>
    <t xml:space="preserve">Benodigde energie </t>
  </si>
  <si>
    <t>Naam</t>
  </si>
  <si>
    <t>Eenheid</t>
  </si>
  <si>
    <t>Voordeel</t>
  </si>
  <si>
    <t>(nuttige productie)</t>
  </si>
  <si>
    <t>Overige externe invloeden</t>
  </si>
  <si>
    <t>(bijv. productie van andere producten, omgevingstemperaturen)</t>
  </si>
  <si>
    <t>Bereken model en evalueer bruikbaarheid</t>
  </si>
  <si>
    <t>Geen beschermde tabel: verander formules niet!</t>
  </si>
  <si>
    <t>Telkens wanneer gegevens of instellingen in de tabel "Referentie" worden gewijzigd, moet u deze stap herhalen! Anders zullen de resultaten verkeerd zijn!</t>
  </si>
  <si>
    <t>Invoer Y as</t>
  </si>
  <si>
    <t>Invoer X as</t>
  </si>
  <si>
    <t>uitvoer bereik</t>
  </si>
  <si>
    <t>Selecteer "Data" -&gt; "Data Analysis" -&gt; "Regressie" en vul eenvoudigweg in bij "Invoer Y as" een "y",  en bij "Invoer X as" een "x". Selecteer verder "Uitvoer bereik" en typ een "a". Verander verder geen instellingen!</t>
  </si>
  <si>
    <t>Regressiemodel (op basis van data analyse van/naar:</t>
  </si>
  <si>
    <t>, basis voor data analyse waren perioden van:</t>
  </si>
  <si>
    <t>Grafische evaluatie: y-model and y-meting</t>
  </si>
  <si>
    <t>Bij goede modellen moet hier een goed lineair verloop door de oorsprong herkenbaar zijn.</t>
  </si>
  <si>
    <t>Statistische evaluatoren over het hele regressiemodel</t>
  </si>
  <si>
    <t>Aangepaste R²</t>
  </si>
  <si>
    <t>P-waarde (F crit)</t>
  </si>
  <si>
    <t>F-waarde (testgrootte F-test)</t>
  </si>
  <si>
    <t>Meervoudige correlatiecoëfficiënt</t>
  </si>
  <si>
    <t>Standaarddeviatie</t>
  </si>
  <si>
    <t>Observaties</t>
  </si>
  <si>
    <t>Variatieanalyse</t>
  </si>
  <si>
    <t>Regressie</t>
  </si>
  <si>
    <t>Residuen</t>
  </si>
  <si>
    <t>Gezamenlijk</t>
  </si>
  <si>
    <t>Vrijheidsgraden (df)</t>
  </si>
  <si>
    <t>Variatie</t>
  </si>
  <si>
    <t>Gemiddelde variatie</t>
  </si>
  <si>
    <t>Coëfficiënt voor variabelen en de constante waarde van het regressiemodel</t>
  </si>
  <si>
    <t>Relevante variabelen en constante waarde</t>
  </si>
  <si>
    <t>Auteur</t>
  </si>
  <si>
    <t>Email</t>
  </si>
  <si>
    <t>"Het gebruik van deze software is uitsluitend bedoeld voor trainingsdoeleinden in het kader van het INDUCE-project. Er wordt geen aansprakelijkheid aanvaard voor de resultaten / berekeningen, tenzij ÖKOTEC heeft gehandeld met opzet of grove nalatigheid bij het verstrekken van de resultaten. "</t>
  </si>
  <si>
    <t>Namen van de relevante variabelen</t>
  </si>
  <si>
    <t>Afkorting</t>
  </si>
  <si>
    <t>Naam in model</t>
  </si>
  <si>
    <t>Coëfficiënt</t>
  </si>
  <si>
    <t>Betrouwbaarheidsinterval</t>
  </si>
  <si>
    <t>Coëfficiënt, die wordt gebruikt als vermenigvuldigingsfactor</t>
  </si>
  <si>
    <t>Maximale onzekerheid in 95% van de gevallen</t>
  </si>
  <si>
    <t>Waarschijnlijkheid, dat deze coëfficiënt slechts incidenteel is</t>
  </si>
  <si>
    <t>t-statistieken</t>
  </si>
  <si>
    <t>Constante waarde</t>
  </si>
  <si>
    <t>Voer data voor monitoring in</t>
  </si>
  <si>
    <t>Data voor monitoring</t>
  </si>
  <si>
    <t>Evaluatie en rapport</t>
  </si>
  <si>
    <t>Soort rapport</t>
  </si>
  <si>
    <t>Periode van/tot:</t>
  </si>
  <si>
    <t>Auteursrecht en gebruiksrechten</t>
  </si>
  <si>
    <t>Alle auteursrechten voor deze software berusten bij ÖKOTEC Energiemanagement GmbH, Torgauer Straße 12-15, 10829 Berlijn, Duitsland, dat deze software heeft ontwikkeld als onderdeel van het INDUCE-project. De deelnemers aan trainingen waarin deze tool wordt gebruikt, mogen deze software binnen hun eigen bedrijf blijven gebruiken. Het gebruik voor het adviseren van derden is niet toegestaan. Wijzigingen in het hulpmiddel mogen niet worden aangebracht zonder de uitdrukkelijke voorafgaande toestemming van ÖKOTEC Energiemanagement GmbH. De overdracht van deze software aan derden buiten het INDUCE-project is niet toegestaan zonder de uitdrukkelijke voorafgaande toestemming van ÖKOTEC Energiemanagement GmbH.</t>
  </si>
  <si>
    <t>↓ Afdrukbereik in DIN A4 vierkant formaat</t>
  </si>
  <si>
    <t>Voor de periode</t>
  </si>
  <si>
    <t>Tot eind</t>
  </si>
  <si>
    <t>Vergelijking: gemeten en gemodelleerd profiel</t>
  </si>
  <si>
    <t>Tijden met hoogste verschil</t>
  </si>
  <si>
    <t>Besparingen (+) en extra verbruik (-)</t>
  </si>
  <si>
    <t xml:space="preserve">Mededelingen </t>
  </si>
  <si>
    <t>Verandering in Energie Efficiëntie</t>
  </si>
  <si>
    <t>Waarden van metingen en modellen in de geselecteerde periode</t>
  </si>
  <si>
    <t>Model</t>
  </si>
  <si>
    <t>Meting</t>
  </si>
  <si>
    <t>Verschil</t>
  </si>
  <si>
    <t>Vertrouwen op 95%</t>
  </si>
  <si>
    <t>Gecumuleerde fout</t>
  </si>
  <si>
    <t>CUSUM als gecumuleerde som van veranderingen in energieverbruik</t>
  </si>
  <si>
    <t>Evaluatie van het model</t>
  </si>
  <si>
    <t>Rapport</t>
  </si>
  <si>
    <t>Voor het systeem</t>
  </si>
  <si>
    <t>Het besparingsdoel was</t>
  </si>
  <si>
    <t xml:space="preserve">Het besparingsdoel werd meer dan gehaald in deze periode </t>
  </si>
  <si>
    <t xml:space="preserve">Het besparingsdoel werd gehaald in deze periode </t>
  </si>
  <si>
    <t xml:space="preserve">Het besparingsdoel werd nog niet gehaald in deze periode </t>
  </si>
  <si>
    <t>Seleccionar Idioma</t>
  </si>
  <si>
    <t>Rastreador de objetivos energéticos</t>
  </si>
  <si>
    <t>Nombre del sistema de monitorización</t>
  </si>
  <si>
    <t>Objetivo de ahorro energetico en comparación con la situación de referencia</t>
  </si>
  <si>
    <t>Las personas responsables del logro de este objetivo</t>
  </si>
  <si>
    <t>¿Preguntas? Contacto autor:</t>
  </si>
  <si>
    <t>Ajustes previos para el calculo</t>
  </si>
  <si>
    <t>Activar el kit de herramientas de análisis de datos en Excel</t>
  </si>
  <si>
    <t>No mueva ni corte y pegue las células. Esto destruiría la herramienta. En su lugar: copiar, pegar y eliminar</t>
  </si>
  <si>
    <t>Introduzca datos y configuración básica</t>
  </si>
  <si>
    <t>Períodos</t>
  </si>
  <si>
    <t>Periodo de tiempo desde la medición</t>
  </si>
  <si>
    <t>Línea base desde</t>
  </si>
  <si>
    <t>hasta</t>
  </si>
  <si>
    <t>(Entrada de energía)</t>
  </si>
  <si>
    <t>Nombre</t>
  </si>
  <si>
    <t>Unidad</t>
  </si>
  <si>
    <t>(producción utilizable)</t>
  </si>
  <si>
    <t>Otras influencias externas</t>
  </si>
  <si>
    <t>(ejemplo: Producción de otros productos, temperaturas ambiente)</t>
  </si>
  <si>
    <t>Calcular el modelo y evaluar la usabilidad</t>
  </si>
  <si>
    <t>Sin protección de tabla: ¡No cambies las fórmulas!</t>
  </si>
  <si>
    <t>¡Cada vez que los datos o ajustes se cambian en la tabla "referencia", es necesario repetir este paso! De lo contrario los resultados estarán equivocados!</t>
  </si>
  <si>
    <t>Seleccione "Datos" -&gt; "Análisis de datos" -&gt; "Regresión" y simplemente escriba "Rango Y de entrada" y "y", en "Rango X de entrada" y "x". Seleccione además "Rango de salida" y escriba una "a". No cambies más configuraciones</t>
  </si>
  <si>
    <t>Rango Y de entrada</t>
  </si>
  <si>
    <t>Rango X de entrada</t>
  </si>
  <si>
    <t>Rango de salida</t>
  </si>
  <si>
    <t>Modelo de regresión (en base al análisis de datos desde/hasta)</t>
  </si>
  <si>
    <t>, base para el análisis de datos fueron periodos de:</t>
  </si>
  <si>
    <t>Evaluación gráfica: y-modelo y y-medida</t>
  </si>
  <si>
    <t>Los buenos modelos deben mostrar una buena correspondencia lineal</t>
  </si>
  <si>
    <t>Evaluadores estadisticos de todo el modelo de regresión</t>
  </si>
  <si>
    <t>R² Ajustado</t>
  </si>
  <si>
    <t>P-valor (F crit)</t>
  </si>
  <si>
    <t>F-valor (F-test)</t>
  </si>
  <si>
    <t>Coeficiente de correlación múltiple</t>
  </si>
  <si>
    <t>Desviación estandar</t>
  </si>
  <si>
    <t>Observaciones</t>
  </si>
  <si>
    <t>Análisis de variación</t>
  </si>
  <si>
    <t>Regresión</t>
  </si>
  <si>
    <t>Residual</t>
  </si>
  <si>
    <t>Todos juntos</t>
  </si>
  <si>
    <t>Áreas de Libertad (df)</t>
  </si>
  <si>
    <t>Variación</t>
  </si>
  <si>
    <t>Variación media</t>
  </si>
  <si>
    <t>Coeficiente para variables y el valor constante del modelo de regresión</t>
  </si>
  <si>
    <t>Variables relevantes y valor constante</t>
  </si>
  <si>
    <t>Nombres de variables relevantes</t>
  </si>
  <si>
    <t>Nombre corto</t>
  </si>
  <si>
    <t>Nombre del modelo</t>
  </si>
  <si>
    <t>Coeficiente</t>
  </si>
  <si>
    <t>Coeficiente que se utiliza como multiplicador</t>
  </si>
  <si>
    <t>Intervalo de confianza</t>
  </si>
  <si>
    <t>Máxima incertidumbre en el 95% de los casos.</t>
  </si>
  <si>
    <t>P-valor:</t>
  </si>
  <si>
    <t>Probabilidad de que este Coeficiente sea solo incidentalmente</t>
  </si>
  <si>
    <t>t-estadísticas</t>
  </si>
  <si>
    <t>Valor constante</t>
  </si>
  <si>
    <t>Ingresar datos para la monitorización</t>
  </si>
  <si>
    <t>Datos para la monitorización</t>
  </si>
  <si>
    <t>Informe y evaluación</t>
  </si>
  <si>
    <t>Tipo de informe:</t>
  </si>
  <si>
    <t>Periodo desde/hasta:</t>
  </si>
  <si>
    <t>↓ Área de impresión en formato DIN A4</t>
  </si>
  <si>
    <t>para el Periodo</t>
  </si>
  <si>
    <t>hasta el final</t>
  </si>
  <si>
    <t>Comparación: Perfil de carga medido y modelado</t>
  </si>
  <si>
    <t>Valores de mediciones y Modelo en el Periodo seleccionado.</t>
  </si>
  <si>
    <t>Tiempos con mayor diferencia</t>
  </si>
  <si>
    <t>Ahorro (+) y consumo adicional (-)</t>
  </si>
  <si>
    <t xml:space="preserve">Avisos: </t>
  </si>
  <si>
    <t>Cambio de eficiencia energética</t>
  </si>
  <si>
    <t>Modelo</t>
  </si>
  <si>
    <t>Medición</t>
  </si>
  <si>
    <t>Diferencia</t>
  </si>
  <si>
    <t>Confianza al 95%</t>
  </si>
  <si>
    <t>Error cumulado</t>
  </si>
  <si>
    <t>CUSUM</t>
  </si>
  <si>
    <t>Evaluación del modelo</t>
  </si>
  <si>
    <t>Informe</t>
  </si>
  <si>
    <t>para el sistema:</t>
  </si>
  <si>
    <t>El objetivo del ahorro fue</t>
  </si>
  <si>
    <t>El objetivo del ahorro se sobrealcanzó en este periodo</t>
  </si>
  <si>
    <t>El objetivo del ahorro se alcanzó en este periodo</t>
  </si>
  <si>
    <t>El objetivo del ahorro aun no se alcanzó en este periodo</t>
  </si>
  <si>
    <t>Negación de responsabilidades</t>
  </si>
  <si>
    <t>El uso de este software está destinado exclusivamente para fines de capacitación en el marco del proyecto INDUCE.
No se asume ninguna responsabilidad por los resultados / cálculos, a menos que ÖKOTEC haya actuado con intención o negligencia grave al proporcionar los resultados.</t>
  </si>
  <si>
    <t>Copyright y derechos de uso:</t>
  </si>
  <si>
    <t>Todos los derechos de autor de este software están a cargo de ÖKOTEC Energiemanagement GmbH, Torgauer Straße 12-15, 10829 Berlin, Germany, que desarrolló este software como parte del proyecto INDUCE. Los participantes de los entrenamientos en los que se utiliza esta herramienta pueden continuar utilizando este software dentro de su propia empresa. No está permitido el uso para consulta de terceros. No se pueden realizar cambios en la herramienta sin el consentimiento previo expreso de ÖKOTEC Energiemanagement GmbH. La transferencia de este software a terceros fuera del proyecto INDUCE no está permitida sin el consentimiento previo expreso de ÖKOTEC Energiemanagement GmbH.
 </t>
  </si>
  <si>
    <t>Introduzca datos para la situación de referencia</t>
  </si>
  <si>
    <t>Entrada</t>
  </si>
  <si>
    <t>Salida</t>
  </si>
  <si>
    <t>Baseline: 1 Variable</t>
  </si>
  <si>
    <t>Baseline: Multiple Variable</t>
  </si>
  <si>
    <t>Month</t>
  </si>
  <si>
    <t>MWh</t>
  </si>
  <si>
    <t>Tons</t>
  </si>
  <si>
    <t>Kd</t>
  </si>
  <si>
    <t>Days</t>
  </si>
  <si>
    <t>Gas Consumtion</t>
  </si>
  <si>
    <t>Production</t>
  </si>
  <si>
    <t>to end of</t>
  </si>
  <si>
    <t>Periods (must be entered as dates)</t>
  </si>
  <si>
    <t>Zeitraum (muss als Datum eingegeben werden)</t>
  </si>
  <si>
    <t>Choisir la langue</t>
  </si>
  <si>
    <t>Tracker de la cible énergétique</t>
  </si>
  <si>
    <t>Nom du système à surveiller</t>
  </si>
  <si>
    <t>Objectif d'économies d'énergie par rapport à la situation de référence</t>
  </si>
  <si>
    <t>Personnes responsables de la réalisation de cet objectif</t>
  </si>
  <si>
    <t>Des questions? Contact de l'auteur:</t>
  </si>
  <si>
    <t>Réglages pour le calcul:</t>
  </si>
  <si>
    <t>Activer la boîte à outils d'analyse de données dans Excel:</t>
  </si>
  <si>
    <t>Entrer les données pour la situation de référence</t>
  </si>
  <si>
    <t>Ne pas déplacer ou couper et coller les cellules. Cela détruirait l'outil. Veuillez plutôt: copier, coller et supprimer</t>
  </si>
  <si>
    <t>Entrer données et paramètres de base</t>
  </si>
  <si>
    <t>Périodes (elles doivent être saisies comme les dates)</t>
  </si>
  <si>
    <t>Délai de mesure</t>
  </si>
  <si>
    <t>À partir de</t>
  </si>
  <si>
    <t>à la fin de</t>
  </si>
  <si>
    <t>(Énergie en entrée)</t>
  </si>
  <si>
    <t>Nom</t>
  </si>
  <si>
    <t>Unité</t>
  </si>
  <si>
    <t>Avantage</t>
  </si>
  <si>
    <t>(Production)</t>
  </si>
  <si>
    <t>Influences externes supplémentaires</t>
  </si>
  <si>
    <t>(par exemple, fabrication d'autres produits, températures ambiantes)</t>
  </si>
  <si>
    <t>Calculer le modèle et évaluer son utilité</t>
  </si>
  <si>
    <t>Le tableau n'est pas protégé: ne changez pas de formules!</t>
  </si>
  <si>
    <t>Chaque fois que vous modifiez des données ou des paramètres dans le tableau "Référence", vous devez répéter cette étape! Sinon, les résultats seront faux!</t>
  </si>
  <si>
    <t>Sélectionnez "Données" -&gt; "Analyse des données" -&gt; "Régression" et tapez simplement "Plage d'entrée Y" et "y" dans "Plage d'entrée X" et "x". Sélectionnez ensuite "Plage de sortie" et tapez un "a". Ne pas modifier les paramètres</t>
  </si>
  <si>
    <t>Gamme Y d'entrée</t>
  </si>
  <si>
    <t>Plage d'entrée X</t>
  </si>
  <si>
    <t>Plage de sortie</t>
  </si>
  <si>
    <t>Modèle de régression (sur la base de l'analyse des données de / à:</t>
  </si>
  <si>
    <t>, base pour l’analyse des données étaient des périodes de:</t>
  </si>
  <si>
    <t>Évaluation graphique: y-Modell et y-Measurement</t>
  </si>
  <si>
    <t>Les bons modèles doivent montrer une bonne correspondance linéaire</t>
  </si>
  <si>
    <t>Évaluateurs statistiques sur l'ensemble du modèle de régression</t>
  </si>
  <si>
    <t>Ajuster R²</t>
  </si>
  <si>
    <t>Valeur P (F crit)</t>
  </si>
  <si>
    <t>Valeur F (Test F)</t>
  </si>
  <si>
    <t>Coefficient de corrélation multiple</t>
  </si>
  <si>
    <t>Déviation standard</t>
  </si>
  <si>
    <t>Analyse de la variation</t>
  </si>
  <si>
    <t>Régression</t>
  </si>
  <si>
    <t>Résidus</t>
  </si>
  <si>
    <t>Tous ensemble</t>
  </si>
  <si>
    <t>Zones de liberté (df)</t>
  </si>
  <si>
    <t>Variation moyenne</t>
  </si>
  <si>
    <t>Coefficient pour les variables et la valeur constante du modèle de régression</t>
  </si>
  <si>
    <t>Variables pertinentes et valeur constante</t>
  </si>
  <si>
    <t>Noms des variables pertinentes</t>
  </si>
  <si>
    <t xml:space="preserve">Appellation </t>
  </si>
  <si>
    <t>Nom dans le modèle</t>
  </si>
  <si>
    <t>Coefficient utilisé comme multiplicateur</t>
  </si>
  <si>
    <t>Intervalle de confiance</t>
  </si>
  <si>
    <t>Incertitude maximale dans 95% des cas</t>
  </si>
  <si>
    <t>Valeur P:</t>
  </si>
  <si>
    <t>Probabilité que ce coefficient ne soit que par incident</t>
  </si>
  <si>
    <t>t-statistiques</t>
  </si>
  <si>
    <t>Valeur constante</t>
  </si>
  <si>
    <t>Entrer des données pour la surveillance</t>
  </si>
  <si>
    <t>Données pour la surveillance</t>
  </si>
  <si>
    <t>Évaluation et rapport</t>
  </si>
  <si>
    <t>Type de rapport:</t>
  </si>
  <si>
    <t>Période du / au:</t>
  </si>
  <si>
    <t xml:space="preserve">↓ Surface d'impression au format DIN A4 </t>
  </si>
  <si>
    <t>pour la période</t>
  </si>
  <si>
    <t>jusqu'à la fin</t>
  </si>
  <si>
    <t>Comparaison: profil de charge mesuré et modélisé</t>
  </si>
  <si>
    <t>Valeurs de mesures et de modèles dans la période sélectionnée</t>
  </si>
  <si>
    <t>Temps avec la plus grande différence</t>
  </si>
  <si>
    <t>Économies (+) et consommation supplémentaire (-)</t>
  </si>
  <si>
    <t>Avis:</t>
  </si>
  <si>
    <t>Changement de l'efficacité énergétique</t>
  </si>
  <si>
    <t>Modèle</t>
  </si>
  <si>
    <t>La mesure</t>
  </si>
  <si>
    <t>Différence</t>
  </si>
  <si>
    <t>Confiance à 95%</t>
  </si>
  <si>
    <t>Erreur cumulée</t>
  </si>
  <si>
    <t>CUSUM: la somme cumulée des changements dans la consommation d'énergie</t>
  </si>
  <si>
    <t>Évaluation du modèle</t>
  </si>
  <si>
    <t>rapport</t>
  </si>
  <si>
    <t>pour le système:</t>
  </si>
  <si>
    <t>L'objectif d'économie était</t>
  </si>
  <si>
    <t>L'objectif d'économie a été dépassée au cours de cette période</t>
  </si>
  <si>
    <t>L'objectif d'économie a été atteint au cours de cette période</t>
  </si>
  <si>
    <t>L'objectif d'économie n'a pas encore été atteint pour cette période</t>
  </si>
  <si>
    <t>Clause de non-responsabilité</t>
  </si>
  <si>
    <t>"L’utilisation de ce logiciel est exclusivement destinée à des fins de formation dans le cadre du projet INDUCE.
Aucune responsabilité n'est assumée pour les résultats / calculs, sauf si ÖKOTEC a agi avec intention ou par négligence grave en fournissant les résultats. "</t>
  </si>
  <si>
    <t>Copyright et droits d'usage</t>
  </si>
  <si>
    <t>ous les droits d'auteur sur ce logiciel sont détenus par ÖKOTEC Energiemanagement GmbH, Torgauer Straße 12-15, 10829 Berlin, Allemagne, qui a développé ce logiciel dans le cadre du projet INDUCE. Les participants aux formations dans lesquelles cet outil est utilisé sont autorisés à continuer à utiliser ce logiciel au sein de leur propre entreprise. L'utilisation pour la consultation de tiers n'est pas autorisée. Aucune modification de l'outil ne peut être effectuée sans l'accord préalable exprès de ÖKOTEC Energiemanagement GmbH. Le transfert de ce logiciel à des tiers en dehors du projet INDUCE n'est pas autorisé sans l'accord préalable exprès de ÖKOTEC Energiemanagement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</si>
</sst>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 _€_-;\-* #,##0.00\ _€_-;_-* &quot;-&quot;??\ _€_-;_-@_-"/>
    <numFmt numFmtId="165" formatCode="0.0"/>
    <numFmt numFmtId="166" formatCode="\Σ\ General"/>
    <numFmt numFmtId="167" formatCode="\+General;\-General"/>
    <numFmt numFmtId="168" formatCode="#,##0.0"/>
    <numFmt numFmtId="169" formatCode="0.000"/>
    <numFmt numFmtId="170" formatCode="0.0%"/>
    <numFmt numFmtId="171" formatCode="&quot;in Toleranz von&quot;\ 0.00\ &quot;%&quot;"/>
    <numFmt numFmtId="172" formatCode="\+0.00%;\-0.00%"/>
    <numFmt numFmtId="173" formatCode="\+0.000;\-0.000"/>
    <numFmt numFmtId="174" formatCode="0.00000"/>
    <numFmt numFmtId="175" formatCode="&quot;+/-&quot;\ General"/>
    <numFmt numFmtId="176" formatCode="dd/mm/yyyy;@"/>
    <numFmt numFmtId="177" formatCode="General\ &quot;Fälle&quot;"/>
    <numFmt numFmtId="178" formatCode="&quot;In&quot;\ 0%\ &quot;der Fälle ist Abstand der Residuen zu 0 kleiner als:&quot;"/>
    <numFmt numFmtId="179" formatCode="0.0000000"/>
    <numFmt numFmtId="180" formatCode="&quot;In&quot;\ 0.00%\ &quot;der Fälle liegen die Residuen in den Klassen zwischen:&quot;"/>
  </numFmts>
  <fonts count="47" x14ac:knownFonts="1">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0"/>
      <color theme="0"/>
      <name val="Calibri"/>
      <family val="2"/>
      <scheme val="minor"/>
    </font>
    <font>
      <b/>
      <sz val="11"/>
      <color theme="0"/>
      <name val="Calibri"/>
      <family val="2"/>
      <scheme val="minor"/>
    </font>
    <font>
      <sz val="12"/>
      <color theme="1"/>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1"/>
      <color theme="0"/>
      <name val="Calibri"/>
      <family val="2"/>
      <scheme val="minor"/>
    </font>
    <font>
      <i/>
      <sz val="11"/>
      <color rgb="FFFF0000"/>
      <name val="Calibri"/>
      <family val="2"/>
      <scheme val="minor"/>
    </font>
    <font>
      <sz val="12"/>
      <name val="Arial"/>
      <family val="2"/>
    </font>
    <font>
      <sz val="14"/>
      <color theme="1"/>
      <name val="Calibri"/>
      <family val="2"/>
      <scheme val="minor"/>
    </font>
    <font>
      <b/>
      <sz val="12"/>
      <color theme="0"/>
      <name val="Calibri"/>
      <family val="2"/>
      <scheme val="minor"/>
    </font>
    <font>
      <sz val="9"/>
      <color indexed="81"/>
      <name val="Tahoma"/>
      <family val="2"/>
    </font>
    <font>
      <b/>
      <sz val="9"/>
      <color indexed="81"/>
      <name val="Tahoma"/>
      <family val="2"/>
    </font>
    <font>
      <u/>
      <sz val="11"/>
      <color theme="10"/>
      <name val="Calibri"/>
      <family val="2"/>
      <scheme val="minor"/>
    </font>
    <font>
      <i/>
      <sz val="11"/>
      <color theme="1"/>
      <name val="Arial"/>
      <family val="2"/>
    </font>
    <font>
      <sz val="10"/>
      <name val="Calibri"/>
      <family val="2"/>
    </font>
    <font>
      <sz val="11"/>
      <color rgb="FF0066CC"/>
      <name val="Calibri"/>
      <family val="2"/>
      <scheme val="minor"/>
    </font>
    <font>
      <b/>
      <sz val="11"/>
      <color rgb="FF0066CC"/>
      <name val="Calibri"/>
      <family val="2"/>
      <scheme val="minor"/>
    </font>
    <font>
      <sz val="10"/>
      <color rgb="FF0000FF"/>
      <name val="Calibri"/>
      <family val="2"/>
      <scheme val="minor"/>
    </font>
    <font>
      <b/>
      <i/>
      <sz val="10"/>
      <color theme="1"/>
      <name val="Calibri"/>
      <family val="2"/>
      <scheme val="minor"/>
    </font>
    <font>
      <sz val="9"/>
      <color theme="1"/>
      <name val="Calibri"/>
      <family val="2"/>
      <scheme val="minor"/>
    </font>
    <font>
      <b/>
      <sz val="12"/>
      <color rgb="FF0066CC"/>
      <name val="Calibri"/>
      <family val="2"/>
      <scheme val="minor"/>
    </font>
    <font>
      <b/>
      <sz val="9"/>
      <color theme="1"/>
      <name val="Calibri"/>
      <family val="2"/>
      <scheme val="minor"/>
    </font>
    <font>
      <b/>
      <sz val="10"/>
      <color theme="1"/>
      <name val="Arial"/>
      <family val="2"/>
    </font>
    <font>
      <sz val="12"/>
      <name val="Calibri"/>
      <family val="2"/>
    </font>
    <font>
      <sz val="10"/>
      <name val="Arial"/>
      <family val="2"/>
    </font>
    <font>
      <i/>
      <sz val="11"/>
      <color rgb="FF0066CC"/>
      <name val="Calibri"/>
      <family val="2"/>
      <scheme val="minor"/>
    </font>
    <font>
      <b/>
      <sz val="14"/>
      <color rgb="FFFF0000"/>
      <name val="Calibri"/>
      <family val="2"/>
      <scheme val="minor"/>
    </font>
    <font>
      <sz val="10"/>
      <color theme="0"/>
      <name val="Calibri"/>
      <family val="2"/>
      <scheme val="minor"/>
    </font>
    <font>
      <i/>
      <sz val="11"/>
      <color theme="0"/>
      <name val="Calibri"/>
      <family val="2"/>
      <scheme val="minor"/>
    </font>
    <font>
      <sz val="12"/>
      <color theme="0"/>
      <name val="Calibri"/>
      <family val="2"/>
      <scheme val="minor"/>
    </font>
    <font>
      <sz val="10"/>
      <color rgb="FFFF0000"/>
      <name val="Calibri"/>
      <family val="2"/>
      <scheme val="minor"/>
    </font>
    <font>
      <sz val="11"/>
      <color rgb="FF0066CC"/>
      <name val="Arial"/>
      <family val="2"/>
    </font>
    <font>
      <b/>
      <sz val="18"/>
      <color rgb="FF248E95"/>
      <name val="Arial"/>
      <family val="2"/>
    </font>
    <font>
      <sz val="11"/>
      <color indexed="8"/>
      <name val="Arial"/>
      <family val="2"/>
    </font>
    <font>
      <b/>
      <sz val="10"/>
      <color indexed="8"/>
      <name val="Arial"/>
      <family val="2"/>
    </font>
    <font>
      <b/>
      <sz val="9"/>
      <color indexed="8"/>
      <name val="Arial"/>
      <family val="2"/>
    </font>
    <font>
      <sz val="8"/>
      <color rgb="FF248E95"/>
      <name val="Arial"/>
      <family val="2"/>
    </font>
    <font>
      <b/>
      <sz val="10"/>
      <color rgb="FF000000"/>
      <name val="Calibri"/>
      <family val="2"/>
    </font>
    <font>
      <b/>
      <sz val="18"/>
      <color theme="3"/>
      <name val="Cambria"/>
      <family val="2"/>
      <scheme val="major"/>
    </font>
    <font>
      <sz val="11"/>
      <color rgb="FFFF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499984740745262"/>
        <bgColor indexed="64"/>
      </patternFill>
    </fill>
    <fill>
      <patternFill patternType="solid">
        <fgColor rgb="FFFFFF00"/>
        <bgColor indexed="64"/>
      </patternFill>
    </fill>
    <fill>
      <patternFill patternType="solid">
        <fgColor rgb="FFDDDDDD"/>
        <bgColor indexed="64"/>
      </patternFill>
    </fill>
  </fills>
  <borders count="66">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64"/>
      </left>
      <right style="medium">
        <color indexed="64"/>
      </right>
      <top/>
      <bottom style="thick">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right/>
      <top/>
      <bottom style="hair">
        <color auto="1"/>
      </bottom>
      <diagonal/>
    </border>
    <border>
      <left/>
      <right/>
      <top style="hair">
        <color auto="1"/>
      </top>
      <bottom style="hair">
        <color auto="1"/>
      </bottom>
      <diagonal/>
    </border>
    <border>
      <left/>
      <right/>
      <top style="hair">
        <color auto="1"/>
      </top>
      <bottom style="medium">
        <color indexed="64"/>
      </bottom>
      <diagonal/>
    </border>
    <border>
      <left/>
      <right/>
      <top style="medium">
        <color indexed="64"/>
      </top>
      <bottom style="hair">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6">
    <xf numFmtId="0" fontId="0" fillId="0" borderId="0"/>
    <xf numFmtId="9" fontId="11" fillId="0" borderId="0" applyFont="0" applyFill="0" applyBorder="0" applyAlignment="0" applyProtection="0"/>
    <xf numFmtId="0" fontId="19" fillId="0" borderId="0" applyNumberFormat="0" applyFill="0" applyBorder="0" applyAlignment="0" applyProtection="0"/>
    <xf numFmtId="164" fontId="11" fillId="0" borderId="0" applyFont="0" applyFill="0" applyBorder="0" applyAlignment="0" applyProtection="0"/>
    <xf numFmtId="0" fontId="31" fillId="0" borderId="0"/>
    <xf numFmtId="0" fontId="45" fillId="0" borderId="0" applyNumberFormat="0" applyFill="0" applyBorder="0" applyAlignment="0" applyProtection="0"/>
  </cellStyleXfs>
  <cellXfs count="610">
    <xf numFmtId="0" fontId="0" fillId="0" borderId="0" xfId="0"/>
    <xf numFmtId="0" fontId="2" fillId="0" borderId="0" xfId="0" applyFont="1" applyProtection="1"/>
    <xf numFmtId="0" fontId="3" fillId="0" borderId="0" xfId="0" applyFont="1" applyAlignment="1" applyProtection="1">
      <alignment vertical="center"/>
    </xf>
    <xf numFmtId="0" fontId="2" fillId="4" borderId="0" xfId="0" applyFont="1" applyFill="1" applyProtection="1"/>
    <xf numFmtId="0" fontId="0" fillId="0" borderId="0" xfId="0" applyProtection="1"/>
    <xf numFmtId="14" fontId="0" fillId="0" borderId="0" xfId="0" applyNumberFormat="1" applyProtection="1"/>
    <xf numFmtId="0" fontId="0" fillId="0" borderId="0" xfId="0" applyFill="1" applyBorder="1" applyAlignment="1"/>
    <xf numFmtId="0" fontId="0" fillId="0" borderId="1" xfId="0" applyFill="1" applyBorder="1" applyAlignment="1"/>
    <xf numFmtId="0" fontId="8" fillId="0" borderId="18" xfId="0" applyFont="1" applyFill="1" applyBorder="1" applyAlignment="1">
      <alignment horizontal="center"/>
    </xf>
    <xf numFmtId="0" fontId="8" fillId="0" borderId="18" xfId="0" applyFont="1" applyFill="1" applyBorder="1" applyAlignment="1">
      <alignment horizontal="centerContinuous"/>
    </xf>
    <xf numFmtId="0" fontId="0" fillId="0" borderId="0" xfId="0" applyFill="1" applyBorder="1" applyAlignment="1" applyProtection="1"/>
    <xf numFmtId="0" fontId="0" fillId="0" borderId="0" xfId="0" applyBorder="1" applyProtection="1"/>
    <xf numFmtId="0" fontId="0" fillId="0" borderId="1" xfId="0" applyBorder="1" applyProtection="1"/>
    <xf numFmtId="0" fontId="0" fillId="0" borderId="2" xfId="0" applyBorder="1" applyProtection="1"/>
    <xf numFmtId="0" fontId="0" fillId="0" borderId="0" xfId="0" applyProtection="1">
      <protection locked="0"/>
    </xf>
    <xf numFmtId="0" fontId="0" fillId="4" borderId="0" xfId="0" applyFill="1" applyProtection="1"/>
    <xf numFmtId="0" fontId="0" fillId="4" borderId="0" xfId="0" applyFont="1" applyFill="1" applyAlignment="1" applyProtection="1"/>
    <xf numFmtId="0" fontId="0" fillId="4" borderId="0" xfId="0" applyFill="1" applyAlignment="1" applyProtection="1">
      <alignment horizontal="left" wrapText="1"/>
    </xf>
    <xf numFmtId="0" fontId="0" fillId="4" borderId="0" xfId="0" applyFill="1" applyAlignment="1" applyProtection="1">
      <alignment horizontal="left" vertical="center"/>
    </xf>
    <xf numFmtId="0" fontId="0" fillId="4" borderId="0" xfId="0" applyNumberFormat="1" applyFill="1" applyBorder="1" applyAlignment="1" applyProtection="1">
      <alignment horizontal="left" vertical="center"/>
    </xf>
    <xf numFmtId="0" fontId="1" fillId="4" borderId="0" xfId="0" applyNumberFormat="1" applyFont="1" applyFill="1" applyBorder="1" applyAlignment="1" applyProtection="1">
      <alignment horizontal="left" vertical="center"/>
    </xf>
    <xf numFmtId="0" fontId="1" fillId="4" borderId="7" xfId="0" applyNumberFormat="1" applyFont="1" applyFill="1" applyBorder="1" applyAlignment="1" applyProtection="1">
      <alignment horizontal="center" vertical="top" wrapText="1"/>
    </xf>
    <xf numFmtId="0" fontId="0" fillId="0" borderId="0" xfId="0" applyNumberFormat="1" applyProtection="1"/>
    <xf numFmtId="0" fontId="0" fillId="4" borderId="0" xfId="0" applyNumberFormat="1" applyFill="1" applyAlignment="1" applyProtection="1">
      <alignment horizontal="left" vertical="center"/>
    </xf>
    <xf numFmtId="0" fontId="0" fillId="0" borderId="0" xfId="0" applyBorder="1" applyAlignment="1" applyProtection="1">
      <alignment wrapText="1"/>
    </xf>
    <xf numFmtId="0" fontId="9" fillId="0" borderId="0" xfId="0" applyFont="1" applyProtection="1"/>
    <xf numFmtId="0" fontId="0" fillId="0" borderId="0" xfId="0" applyAlignment="1" applyProtection="1"/>
    <xf numFmtId="0" fontId="1" fillId="2" borderId="0" xfId="0" applyFont="1" applyFill="1" applyProtection="1">
      <protection locked="0"/>
    </xf>
    <xf numFmtId="12" fontId="0" fillId="2" borderId="19" xfId="0" applyNumberFormat="1" applyFill="1" applyBorder="1" applyProtection="1">
      <protection locked="0"/>
    </xf>
    <xf numFmtId="0" fontId="0" fillId="4" borderId="0" xfId="0" applyFill="1" applyBorder="1" applyAlignment="1" applyProtection="1"/>
    <xf numFmtId="0" fontId="12" fillId="3" borderId="1" xfId="0" applyFont="1" applyFill="1" applyBorder="1" applyAlignment="1" applyProtection="1">
      <alignment horizontal="right" vertical="center"/>
    </xf>
    <xf numFmtId="0" fontId="0" fillId="6" borderId="1" xfId="0" applyFont="1" applyFill="1" applyBorder="1" applyAlignment="1" applyProtection="1">
      <alignment horizontal="left" vertical="center"/>
    </xf>
    <xf numFmtId="0" fontId="0" fillId="4" borderId="0" xfId="0" applyFill="1" applyAlignment="1" applyProtection="1">
      <alignment horizontal="center"/>
    </xf>
    <xf numFmtId="0" fontId="0" fillId="0" borderId="25" xfId="0" applyBorder="1" applyProtection="1"/>
    <xf numFmtId="0" fontId="14" fillId="0" borderId="25" xfId="0" applyFont="1" applyBorder="1" applyProtection="1"/>
    <xf numFmtId="0" fontId="7" fillId="0" borderId="12" xfId="0" applyFont="1" applyBorder="1" applyAlignment="1" applyProtection="1">
      <alignment horizontal="left"/>
    </xf>
    <xf numFmtId="0" fontId="0" fillId="0" borderId="26" xfId="0" applyBorder="1" applyProtection="1"/>
    <xf numFmtId="0" fontId="0" fillId="0" borderId="7" xfId="0" applyFont="1" applyBorder="1" applyAlignment="1" applyProtection="1">
      <alignment vertical="center"/>
    </xf>
    <xf numFmtId="0" fontId="0" fillId="2" borderId="22" xfId="0" applyFill="1" applyBorder="1" applyProtection="1"/>
    <xf numFmtId="0" fontId="0" fillId="2" borderId="24" xfId="0" applyFill="1" applyBorder="1" applyProtection="1"/>
    <xf numFmtId="0" fontId="0" fillId="4" borderId="0" xfId="0" applyNumberFormat="1" applyFill="1" applyBorder="1" applyAlignment="1" applyProtection="1">
      <alignment horizontal="center" vertical="center"/>
    </xf>
    <xf numFmtId="0" fontId="0" fillId="4" borderId="0" xfId="0" applyFill="1" applyBorder="1" applyAlignment="1" applyProtection="1">
      <alignment vertical="top"/>
    </xf>
    <xf numFmtId="0" fontId="7" fillId="4" borderId="0" xfId="0" applyFont="1" applyFill="1" applyBorder="1" applyAlignment="1" applyProtection="1"/>
    <xf numFmtId="0" fontId="0" fillId="4" borderId="7" xfId="0" applyFont="1" applyFill="1" applyBorder="1" applyAlignment="1" applyProtection="1">
      <alignment horizontal="right"/>
    </xf>
    <xf numFmtId="0" fontId="9" fillId="4" borderId="0" xfId="0" applyNumberFormat="1" applyFont="1" applyFill="1" applyBorder="1" applyAlignment="1" applyProtection="1">
      <alignment horizontal="left" vertical="center" wrapText="1"/>
    </xf>
    <xf numFmtId="0" fontId="7" fillId="4" borderId="0" xfId="0" applyNumberFormat="1" applyFont="1" applyFill="1" applyBorder="1" applyAlignment="1" applyProtection="1">
      <alignment horizontal="left" vertical="center"/>
    </xf>
    <xf numFmtId="0" fontId="0" fillId="4" borderId="7" xfId="0" applyNumberFormat="1" applyFont="1" applyFill="1" applyBorder="1" applyAlignment="1" applyProtection="1">
      <alignment horizontal="left" vertical="center"/>
    </xf>
    <xf numFmtId="0" fontId="0" fillId="4" borderId="14" xfId="0" applyNumberFormat="1" applyFill="1" applyBorder="1" applyProtection="1"/>
    <xf numFmtId="0" fontId="0" fillId="4" borderId="13" xfId="0" applyNumberFormat="1" applyFill="1" applyBorder="1" applyAlignment="1" applyProtection="1">
      <alignment horizontal="left" vertical="center"/>
    </xf>
    <xf numFmtId="0" fontId="0" fillId="4" borderId="13" xfId="0" applyNumberFormat="1" applyFill="1" applyBorder="1" applyProtection="1"/>
    <xf numFmtId="0" fontId="0" fillId="4" borderId="0" xfId="0" applyFont="1" applyFill="1" applyBorder="1" applyAlignment="1" applyProtection="1">
      <alignment horizontal="left" vertical="center"/>
    </xf>
    <xf numFmtId="0" fontId="0" fillId="4" borderId="0" xfId="0" applyNumberFormat="1" applyFont="1" applyFill="1" applyBorder="1" applyAlignment="1" applyProtection="1">
      <alignment horizontal="left" vertical="center"/>
    </xf>
    <xf numFmtId="4" fontId="0" fillId="4" borderId="0" xfId="0" applyNumberFormat="1" applyFont="1" applyFill="1" applyBorder="1" applyAlignment="1" applyProtection="1">
      <alignment horizontal="left" vertical="center"/>
    </xf>
    <xf numFmtId="0" fontId="7" fillId="0" borderId="0" xfId="0" applyFont="1" applyProtection="1"/>
    <xf numFmtId="0" fontId="13" fillId="0" borderId="0" xfId="0" applyFont="1" applyFill="1" applyBorder="1" applyAlignment="1">
      <alignment horizontal="centerContinuous"/>
    </xf>
    <xf numFmtId="0" fontId="13" fillId="0" borderId="0" xfId="0" applyFont="1" applyFill="1" applyBorder="1" applyAlignment="1" applyProtection="1">
      <alignment horizontal="centerContinuous"/>
    </xf>
    <xf numFmtId="0" fontId="6" fillId="3" borderId="12" xfId="0" applyFont="1" applyFill="1" applyBorder="1" applyAlignment="1" applyProtection="1">
      <alignment vertical="top"/>
    </xf>
    <xf numFmtId="0" fontId="12" fillId="3" borderId="15" xfId="0" applyFont="1" applyFill="1" applyBorder="1" applyAlignment="1" applyProtection="1"/>
    <xf numFmtId="0" fontId="5" fillId="4" borderId="0" xfId="0" applyFont="1" applyFill="1" applyAlignment="1" applyProtection="1">
      <alignment horizontal="right" vertical="center"/>
    </xf>
    <xf numFmtId="0" fontId="12" fillId="4" borderId="6" xfId="0" applyNumberFormat="1" applyFont="1" applyFill="1" applyBorder="1" applyAlignment="1" applyProtection="1">
      <alignment horizontal="center" vertical="top"/>
    </xf>
    <xf numFmtId="0" fontId="12" fillId="4" borderId="6" xfId="0" applyNumberFormat="1" applyFont="1" applyFill="1" applyBorder="1" applyAlignment="1" applyProtection="1">
      <alignment horizontal="center" vertical="center"/>
    </xf>
    <xf numFmtId="0" fontId="6" fillId="4" borderId="7" xfId="0" applyFont="1" applyFill="1" applyBorder="1" applyAlignment="1" applyProtection="1">
      <alignment horizontal="right"/>
    </xf>
    <xf numFmtId="0" fontId="9" fillId="0" borderId="0" xfId="0" applyFont="1" applyBorder="1" applyAlignment="1" applyProtection="1">
      <alignment horizontal="right"/>
    </xf>
    <xf numFmtId="14" fontId="6" fillId="5" borderId="5" xfId="0" applyNumberFormat="1" applyFont="1" applyFill="1" applyBorder="1" applyAlignment="1" applyProtection="1">
      <alignment horizontal="right"/>
    </xf>
    <xf numFmtId="22" fontId="0" fillId="0" borderId="0" xfId="0" applyNumberFormat="1" applyProtection="1"/>
    <xf numFmtId="4" fontId="0" fillId="0" borderId="0" xfId="0" applyNumberFormat="1" applyProtection="1"/>
    <xf numFmtId="0" fontId="0" fillId="0" borderId="0" xfId="0" applyBorder="1" applyAlignment="1" applyProtection="1">
      <alignment vertical="top"/>
    </xf>
    <xf numFmtId="0" fontId="7" fillId="0" borderId="0" xfId="0" applyNumberFormat="1" applyFont="1" applyFill="1" applyBorder="1" applyAlignment="1" applyProtection="1">
      <alignment horizontal="left" vertical="center"/>
    </xf>
    <xf numFmtId="0" fontId="0" fillId="4" borderId="0" xfId="0" applyFill="1"/>
    <xf numFmtId="0" fontId="10" fillId="4" borderId="0" xfId="0" applyFont="1" applyFill="1"/>
    <xf numFmtId="0" fontId="1" fillId="4" borderId="0" xfId="0" applyFont="1" applyFill="1"/>
    <xf numFmtId="0" fontId="19" fillId="4" borderId="0" xfId="2" applyFill="1"/>
    <xf numFmtId="0" fontId="22" fillId="0" borderId="0" xfId="0" applyFont="1" applyBorder="1" applyProtection="1"/>
    <xf numFmtId="2" fontId="22" fillId="4" borderId="16" xfId="0" applyNumberFormat="1" applyFont="1" applyFill="1" applyBorder="1" applyProtection="1">
      <protection locked="0"/>
    </xf>
    <xf numFmtId="2" fontId="22" fillId="4" borderId="8" xfId="0" applyNumberFormat="1" applyFont="1" applyFill="1" applyBorder="1" applyProtection="1">
      <protection locked="0"/>
    </xf>
    <xf numFmtId="166" fontId="6" fillId="3" borderId="29" xfId="0" applyNumberFormat="1" applyFont="1" applyFill="1" applyBorder="1" applyProtection="1"/>
    <xf numFmtId="166" fontId="6" fillId="3" borderId="5" xfId="0" applyNumberFormat="1" applyFont="1" applyFill="1" applyBorder="1" applyProtection="1"/>
    <xf numFmtId="0" fontId="0" fillId="4" borderId="12" xfId="0" applyFill="1" applyBorder="1" applyProtection="1"/>
    <xf numFmtId="0" fontId="5" fillId="4" borderId="13" xfId="0" applyFont="1" applyFill="1" applyBorder="1" applyAlignment="1" applyProtection="1">
      <alignment horizontal="right" vertical="center"/>
    </xf>
    <xf numFmtId="0" fontId="0" fillId="4" borderId="13" xfId="0" applyFill="1" applyBorder="1" applyProtection="1"/>
    <xf numFmtId="0" fontId="0" fillId="4" borderId="1" xfId="0" applyNumberFormat="1" applyFill="1" applyBorder="1" applyProtection="1"/>
    <xf numFmtId="0" fontId="0" fillId="4" borderId="1" xfId="0" applyFill="1" applyBorder="1" applyProtection="1"/>
    <xf numFmtId="0" fontId="0" fillId="4" borderId="1" xfId="0" applyNumberFormat="1" applyFill="1" applyBorder="1" applyAlignment="1" applyProtection="1">
      <alignment horizontal="left" vertical="center"/>
    </xf>
    <xf numFmtId="0" fontId="0" fillId="4" borderId="2" xfId="0" applyNumberFormat="1" applyFill="1" applyBorder="1" applyProtection="1"/>
    <xf numFmtId="168" fontId="24" fillId="0" borderId="0" xfId="0" applyNumberFormat="1" applyFont="1" applyFill="1" applyAlignment="1" applyProtection="1">
      <alignment horizontal="right" vertical="center" indent="1"/>
    </xf>
    <xf numFmtId="0" fontId="9" fillId="0" borderId="0" xfId="0" applyFont="1" applyAlignment="1" applyProtection="1"/>
    <xf numFmtId="0" fontId="7" fillId="4" borderId="0" xfId="0" quotePrefix="1" applyNumberFormat="1" applyFont="1" applyFill="1" applyBorder="1" applyAlignment="1" applyProtection="1">
      <alignment horizontal="left" vertical="center"/>
    </xf>
    <xf numFmtId="0" fontId="0" fillId="0" borderId="0" xfId="0" applyBorder="1" applyAlignment="1" applyProtection="1"/>
    <xf numFmtId="0" fontId="9" fillId="0" borderId="0" xfId="0" applyFont="1" applyBorder="1" applyAlignment="1" applyProtection="1">
      <alignment vertical="top"/>
    </xf>
    <xf numFmtId="0" fontId="0" fillId="0" borderId="0" xfId="0" applyAlignment="1" applyProtection="1">
      <alignment vertical="top"/>
    </xf>
    <xf numFmtId="0" fontId="15" fillId="0" borderId="0" xfId="0" applyFont="1" applyBorder="1" applyAlignment="1" applyProtection="1">
      <alignment vertical="top"/>
    </xf>
    <xf numFmtId="0" fontId="9" fillId="0" borderId="0" xfId="0" applyFont="1" applyBorder="1" applyAlignment="1" applyProtection="1">
      <alignment horizontal="right" vertical="top"/>
    </xf>
    <xf numFmtId="0" fontId="0" fillId="0" borderId="14" xfId="0" applyBorder="1" applyAlignment="1" applyProtection="1"/>
    <xf numFmtId="0" fontId="1" fillId="2" borderId="3" xfId="0" applyFont="1" applyFill="1" applyBorder="1" applyAlignment="1" applyProtection="1">
      <alignment horizontal="left"/>
    </xf>
    <xf numFmtId="0" fontId="0" fillId="0" borderId="2" xfId="0" applyBorder="1" applyAlignment="1" applyProtection="1"/>
    <xf numFmtId="0" fontId="1" fillId="2" borderId="5" xfId="0" applyFont="1" applyFill="1" applyBorder="1" applyAlignment="1" applyProtection="1">
      <alignment horizontal="left" vertical="center"/>
    </xf>
    <xf numFmtId="0" fontId="26" fillId="0" borderId="0" xfId="0" applyFont="1" applyBorder="1" applyAlignment="1" applyProtection="1">
      <alignment horizontal="left"/>
    </xf>
    <xf numFmtId="9" fontId="0" fillId="0" borderId="0" xfId="1" applyFont="1" applyBorder="1" applyAlignment="1" applyProtection="1">
      <alignment horizontal="left"/>
    </xf>
    <xf numFmtId="0" fontId="0" fillId="0" borderId="0" xfId="0" applyBorder="1" applyAlignment="1" applyProtection="1">
      <alignment horizontal="center" vertical="center"/>
    </xf>
    <xf numFmtId="2" fontId="1" fillId="0" borderId="0" xfId="0" applyNumberFormat="1" applyFont="1" applyBorder="1" applyAlignment="1" applyProtection="1">
      <alignment horizontal="right" vertical="center"/>
    </xf>
    <xf numFmtId="4" fontId="0" fillId="0" borderId="15" xfId="0" applyNumberFormat="1" applyFont="1" applyBorder="1" applyAlignment="1" applyProtection="1">
      <alignment horizontal="right"/>
    </xf>
    <xf numFmtId="4" fontId="0" fillId="0" borderId="0" xfId="0" applyNumberFormat="1" applyFont="1" applyBorder="1" applyAlignment="1" applyProtection="1">
      <alignment horizontal="right"/>
    </xf>
    <xf numFmtId="170" fontId="1" fillId="0" borderId="0" xfId="1" applyNumberFormat="1" applyFont="1" applyBorder="1" applyAlignment="1" applyProtection="1">
      <alignment horizontal="left"/>
    </xf>
    <xf numFmtId="0" fontId="0" fillId="4" borderId="7" xfId="0" applyFont="1" applyFill="1" applyBorder="1" applyAlignment="1" applyProtection="1">
      <alignment horizontal="left"/>
    </xf>
    <xf numFmtId="0" fontId="0" fillId="0" borderId="23" xfId="0" applyBorder="1" applyProtection="1"/>
    <xf numFmtId="0" fontId="2" fillId="0" borderId="0" xfId="0" applyFont="1" applyBorder="1" applyProtection="1"/>
    <xf numFmtId="169" fontId="26" fillId="0" borderId="0" xfId="0" applyNumberFormat="1" applyFont="1" applyBorder="1" applyProtection="1"/>
    <xf numFmtId="0" fontId="26" fillId="0" borderId="7" xfId="0" applyFont="1" applyBorder="1" applyProtection="1"/>
    <xf numFmtId="169" fontId="28" fillId="0" borderId="0" xfId="0" applyNumberFormat="1" applyFont="1" applyBorder="1" applyAlignment="1" applyProtection="1">
      <alignment horizontal="right" vertical="center"/>
    </xf>
    <xf numFmtId="0" fontId="26" fillId="0" borderId="7" xfId="0" applyFont="1" applyBorder="1" applyAlignment="1" applyProtection="1">
      <alignment vertical="center"/>
    </xf>
    <xf numFmtId="169" fontId="26" fillId="4" borderId="0" xfId="0" applyNumberFormat="1" applyFont="1" applyFill="1" applyBorder="1" applyAlignment="1" applyProtection="1">
      <alignment horizontal="right" vertical="center"/>
    </xf>
    <xf numFmtId="2" fontId="26" fillId="0" borderId="7" xfId="0" applyNumberFormat="1" applyFont="1" applyBorder="1" applyAlignment="1" applyProtection="1">
      <alignment horizontal="left" vertical="center"/>
    </xf>
    <xf numFmtId="0" fontId="26" fillId="4" borderId="7" xfId="0" applyFont="1" applyFill="1" applyBorder="1" applyProtection="1"/>
    <xf numFmtId="172" fontId="26" fillId="4" borderId="0" xfId="1" applyNumberFormat="1" applyFont="1" applyFill="1" applyBorder="1" applyProtection="1"/>
    <xf numFmtId="173" fontId="26" fillId="4" borderId="0" xfId="0" applyNumberFormat="1" applyFont="1" applyFill="1" applyBorder="1" applyProtection="1"/>
    <xf numFmtId="22" fontId="2" fillId="0" borderId="0" xfId="0" applyNumberFormat="1" applyFont="1" applyBorder="1" applyProtection="1"/>
    <xf numFmtId="0" fontId="2" fillId="0" borderId="12" xfId="0" applyFont="1" applyBorder="1" applyAlignment="1" applyProtection="1">
      <alignment vertical="top"/>
    </xf>
    <xf numFmtId="0" fontId="2" fillId="0" borderId="13" xfId="0" applyFont="1" applyBorder="1" applyAlignment="1" applyProtection="1">
      <alignment vertical="top"/>
    </xf>
    <xf numFmtId="0" fontId="2" fillId="0" borderId="13" xfId="3" applyNumberFormat="1" applyFont="1" applyBorder="1" applyAlignment="1" applyProtection="1">
      <alignment horizontal="right" vertical="top"/>
    </xf>
    <xf numFmtId="0" fontId="2" fillId="0" borderId="0" xfId="0" applyFont="1" applyBorder="1" applyAlignment="1" applyProtection="1">
      <alignment vertical="top"/>
    </xf>
    <xf numFmtId="0" fontId="2" fillId="0" borderId="0" xfId="3" applyNumberFormat="1" applyFont="1" applyBorder="1" applyAlignment="1" applyProtection="1">
      <alignment horizontal="right" vertical="top"/>
    </xf>
    <xf numFmtId="0" fontId="9" fillId="0" borderId="0" xfId="0" applyFont="1" applyBorder="1" applyAlignment="1" applyProtection="1">
      <alignment vertical="center"/>
    </xf>
    <xf numFmtId="0" fontId="0" fillId="0" borderId="0" xfId="0" applyBorder="1" applyAlignment="1" applyProtection="1">
      <alignment vertical="center"/>
    </xf>
    <xf numFmtId="0" fontId="0" fillId="4" borderId="1" xfId="0" applyFill="1" applyBorder="1" applyAlignment="1" applyProtection="1"/>
    <xf numFmtId="0" fontId="12" fillId="3" borderId="13" xfId="0" applyFont="1" applyFill="1" applyBorder="1" applyAlignment="1" applyProtection="1"/>
    <xf numFmtId="0" fontId="0" fillId="6" borderId="1" xfId="0" applyFont="1" applyFill="1" applyBorder="1" applyAlignment="1" applyProtection="1">
      <alignment vertical="center"/>
    </xf>
    <xf numFmtId="0" fontId="10" fillId="4" borderId="0" xfId="0" applyFont="1" applyFill="1" applyBorder="1" applyAlignment="1" applyProtection="1">
      <alignment horizontal="left"/>
    </xf>
    <xf numFmtId="0" fontId="9" fillId="4" borderId="6" xfId="0" applyFont="1" applyFill="1" applyBorder="1" applyAlignment="1" applyProtection="1"/>
    <xf numFmtId="0" fontId="0" fillId="4" borderId="2" xfId="0" quotePrefix="1" applyFont="1" applyFill="1" applyBorder="1" applyAlignment="1" applyProtection="1">
      <alignment horizontal="right"/>
    </xf>
    <xf numFmtId="0" fontId="9" fillId="4" borderId="3" xfId="0" applyFont="1" applyFill="1" applyBorder="1" applyAlignment="1" applyProtection="1">
      <alignment horizontal="center"/>
    </xf>
    <xf numFmtId="0" fontId="9" fillId="0" borderId="3" xfId="0" applyFont="1" applyBorder="1" applyAlignment="1" applyProtection="1">
      <alignment horizontal="center"/>
    </xf>
    <xf numFmtId="0" fontId="9" fillId="0" borderId="3" xfId="0" applyFont="1" applyBorder="1" applyAlignment="1" applyProtection="1">
      <alignment horizontal="center" vertical="top"/>
    </xf>
    <xf numFmtId="0" fontId="9" fillId="0" borderId="14" xfId="0" applyFont="1" applyBorder="1" applyAlignment="1" applyProtection="1">
      <alignment horizontal="center" vertical="top"/>
    </xf>
    <xf numFmtId="0" fontId="0" fillId="0" borderId="4" xfId="0" applyBorder="1" applyAlignment="1" applyProtection="1">
      <alignment horizontal="center" vertical="top" wrapText="1"/>
    </xf>
    <xf numFmtId="0" fontId="1" fillId="4" borderId="0" xfId="0" applyFont="1" applyFill="1" applyBorder="1" applyProtection="1"/>
    <xf numFmtId="0" fontId="12" fillId="3" borderId="1" xfId="0" applyFont="1" applyFill="1" applyBorder="1" applyAlignment="1" applyProtection="1"/>
    <xf numFmtId="0" fontId="12" fillId="3" borderId="14" xfId="0" applyFont="1" applyFill="1" applyBorder="1" applyAlignment="1" applyProtection="1"/>
    <xf numFmtId="0" fontId="0" fillId="6" borderId="2" xfId="0" applyFont="1" applyFill="1" applyBorder="1" applyAlignment="1" applyProtection="1">
      <alignment vertical="center"/>
    </xf>
    <xf numFmtId="0" fontId="0" fillId="4" borderId="4" xfId="0" applyFont="1" applyFill="1" applyBorder="1" applyAlignment="1" applyProtection="1">
      <alignment vertical="center" wrapText="1"/>
    </xf>
    <xf numFmtId="0" fontId="0" fillId="4" borderId="2" xfId="0" applyFont="1" applyFill="1" applyBorder="1" applyAlignment="1" applyProtection="1">
      <alignment vertical="top" wrapText="1"/>
    </xf>
    <xf numFmtId="0" fontId="32" fillId="0" borderId="4" xfId="0" applyFont="1" applyFill="1" applyBorder="1" applyProtection="1"/>
    <xf numFmtId="0" fontId="22" fillId="0" borderId="34" xfId="0" applyFont="1" applyBorder="1" applyProtection="1"/>
    <xf numFmtId="0" fontId="13" fillId="0" borderId="0" xfId="0" applyFont="1" applyFill="1" applyBorder="1" applyAlignment="1" applyProtection="1">
      <alignment horizontal="centerContinuous"/>
      <protection locked="0"/>
    </xf>
    <xf numFmtId="0" fontId="0" fillId="4" borderId="0" xfId="0" applyFill="1" applyAlignment="1" applyProtection="1">
      <alignment horizontal="center"/>
      <protection locked="0"/>
    </xf>
    <xf numFmtId="0" fontId="0" fillId="4" borderId="0" xfId="0" quotePrefix="1" applyFill="1" applyBorder="1" applyAlignment="1" applyProtection="1">
      <alignment horizontal="right"/>
      <protection locked="0"/>
    </xf>
    <xf numFmtId="0" fontId="0" fillId="0" borderId="0" xfId="0" applyAlignment="1" applyProtection="1">
      <alignment horizontal="center"/>
      <protection locked="0"/>
    </xf>
    <xf numFmtId="0" fontId="8" fillId="0" borderId="0" xfId="0" applyFont="1" applyFill="1" applyBorder="1" applyAlignment="1" applyProtection="1">
      <alignment horizontal="center"/>
      <protection locked="0"/>
    </xf>
    <xf numFmtId="0" fontId="0" fillId="0" borderId="0" xfId="0" applyBorder="1" applyProtection="1">
      <protection locked="0"/>
    </xf>
    <xf numFmtId="0" fontId="22" fillId="0" borderId="0" xfId="0" applyFont="1" applyBorder="1" applyProtection="1">
      <protection locked="0"/>
    </xf>
    <xf numFmtId="0" fontId="7" fillId="0" borderId="0" xfId="0" applyFont="1" applyFill="1" applyBorder="1" applyAlignment="1" applyProtection="1">
      <alignment horizontal="centerContinuous"/>
    </xf>
    <xf numFmtId="4" fontId="0" fillId="4" borderId="6" xfId="0" applyNumberFormat="1" applyFont="1" applyFill="1" applyBorder="1" applyProtection="1"/>
    <xf numFmtId="2" fontId="22" fillId="4" borderId="37" xfId="0" applyNumberFormat="1" applyFont="1" applyFill="1" applyBorder="1" applyProtection="1">
      <protection locked="0"/>
    </xf>
    <xf numFmtId="2" fontId="22" fillId="4" borderId="38" xfId="0" applyNumberFormat="1" applyFont="1" applyFill="1" applyBorder="1" applyProtection="1">
      <protection locked="0"/>
    </xf>
    <xf numFmtId="2" fontId="22" fillId="4" borderId="21" xfId="0" applyNumberFormat="1" applyFont="1" applyFill="1" applyBorder="1" applyProtection="1">
      <protection locked="0"/>
    </xf>
    <xf numFmtId="2" fontId="22" fillId="4" borderId="20" xfId="0" applyNumberFormat="1" applyFont="1" applyFill="1" applyBorder="1" applyProtection="1">
      <protection locked="0"/>
    </xf>
    <xf numFmtId="0" fontId="22" fillId="0" borderId="35" xfId="0" applyFont="1" applyBorder="1" applyAlignment="1" applyProtection="1">
      <alignment horizontal="right"/>
    </xf>
    <xf numFmtId="0" fontId="22" fillId="0" borderId="36" xfId="0" applyFont="1" applyBorder="1" applyAlignment="1" applyProtection="1">
      <alignment horizontal="right"/>
    </xf>
    <xf numFmtId="0" fontId="32" fillId="0" borderId="33" xfId="0" applyFont="1" applyFill="1" applyBorder="1" applyAlignment="1" applyProtection="1">
      <alignment horizontal="right"/>
    </xf>
    <xf numFmtId="0" fontId="32" fillId="0" borderId="2" xfId="0" applyFont="1" applyFill="1" applyBorder="1" applyAlignment="1" applyProtection="1">
      <alignment horizontal="right"/>
    </xf>
    <xf numFmtId="0" fontId="2" fillId="0" borderId="0" xfId="0" applyFont="1" applyBorder="1" applyAlignment="1" applyProtection="1">
      <alignment horizontal="left" vertical="top"/>
    </xf>
    <xf numFmtId="0" fontId="2" fillId="4" borderId="0" xfId="0" applyFont="1" applyFill="1" applyBorder="1" applyAlignment="1" applyProtection="1">
      <alignment vertical="top"/>
    </xf>
    <xf numFmtId="0" fontId="2" fillId="0" borderId="0" xfId="0" applyNumberFormat="1" applyFont="1" applyBorder="1" applyAlignment="1" applyProtection="1">
      <alignment vertical="top"/>
    </xf>
    <xf numFmtId="0" fontId="1" fillId="0" borderId="0" xfId="0" applyFont="1" applyBorder="1" applyAlignment="1" applyProtection="1">
      <alignment horizontal="left" vertical="center"/>
    </xf>
    <xf numFmtId="0" fontId="26" fillId="0" borderId="0" xfId="0" applyFont="1" applyBorder="1" applyProtection="1"/>
    <xf numFmtId="0" fontId="26" fillId="4" borderId="0" xfId="0" applyFont="1" applyFill="1" applyBorder="1" applyProtection="1"/>
    <xf numFmtId="10" fontId="9" fillId="0" borderId="13" xfId="1" applyNumberFormat="1" applyFont="1" applyBorder="1" applyAlignment="1" applyProtection="1">
      <alignment horizontal="right" vertical="center"/>
    </xf>
    <xf numFmtId="14" fontId="6" fillId="3" borderId="5" xfId="0" applyNumberFormat="1" applyFont="1" applyFill="1" applyBorder="1" applyAlignment="1" applyProtection="1">
      <alignment horizontal="right"/>
    </xf>
    <xf numFmtId="4" fontId="23" fillId="4" borderId="5" xfId="0" applyNumberFormat="1" applyFont="1" applyFill="1" applyBorder="1" applyAlignment="1" applyProtection="1">
      <alignment horizontal="center"/>
    </xf>
    <xf numFmtId="0" fontId="0" fillId="4" borderId="7" xfId="0" applyFont="1" applyFill="1" applyBorder="1" applyAlignment="1" applyProtection="1">
      <alignment horizontal="center"/>
    </xf>
    <xf numFmtId="0" fontId="0" fillId="4" borderId="5" xfId="0" applyNumberFormat="1" applyFont="1" applyFill="1" applyBorder="1" applyAlignment="1" applyProtection="1">
      <alignment horizontal="center" vertical="center"/>
    </xf>
    <xf numFmtId="0" fontId="0" fillId="4" borderId="15" xfId="0" applyFill="1" applyBorder="1" applyProtection="1"/>
    <xf numFmtId="0" fontId="6" fillId="4" borderId="1" xfId="0" applyFont="1" applyFill="1" applyBorder="1" applyAlignment="1" applyProtection="1">
      <alignment horizontal="right"/>
    </xf>
    <xf numFmtId="10" fontId="1" fillId="0" borderId="0" xfId="1" applyNumberFormat="1" applyFont="1" applyBorder="1" applyAlignment="1" applyProtection="1">
      <alignment horizontal="right" vertical="center"/>
    </xf>
    <xf numFmtId="10" fontId="1" fillId="4" borderId="0" xfId="1" applyNumberFormat="1" applyFont="1" applyFill="1" applyBorder="1" applyAlignment="1" applyProtection="1">
      <alignment horizontal="right"/>
    </xf>
    <xf numFmtId="0" fontId="1" fillId="0" borderId="13" xfId="0" applyFont="1" applyBorder="1" applyAlignment="1" applyProtection="1">
      <alignment horizontal="left" vertical="center"/>
    </xf>
    <xf numFmtId="0" fontId="1" fillId="0" borderId="0" xfId="0" applyFont="1" applyBorder="1" applyAlignment="1" applyProtection="1">
      <alignment vertical="center"/>
    </xf>
    <xf numFmtId="0" fontId="1" fillId="4" borderId="0" xfId="0" applyFont="1" applyFill="1" applyBorder="1" applyAlignment="1" applyProtection="1">
      <alignment wrapText="1"/>
    </xf>
    <xf numFmtId="0" fontId="2" fillId="0" borderId="14" xfId="0" applyNumberFormat="1" applyFont="1" applyBorder="1" applyAlignment="1" applyProtection="1">
      <alignment horizontal="left" vertical="top"/>
    </xf>
    <xf numFmtId="0" fontId="2" fillId="0" borderId="7" xfId="0" applyNumberFormat="1" applyFont="1" applyBorder="1" applyAlignment="1" applyProtection="1">
      <alignment horizontal="left" vertical="top"/>
    </xf>
    <xf numFmtId="0" fontId="7" fillId="4" borderId="0" xfId="0" applyFont="1" applyFill="1" applyBorder="1" applyProtection="1"/>
    <xf numFmtId="0" fontId="0" fillId="0" borderId="0" xfId="0" applyBorder="1" applyAlignment="1">
      <alignment wrapText="1"/>
    </xf>
    <xf numFmtId="0" fontId="10" fillId="0" borderId="0" xfId="0" applyFont="1" applyProtection="1"/>
    <xf numFmtId="0" fontId="22" fillId="0" borderId="0" xfId="0" applyFont="1" applyProtection="1"/>
    <xf numFmtId="175" fontId="0" fillId="0" borderId="0" xfId="0" applyNumberFormat="1"/>
    <xf numFmtId="0" fontId="0" fillId="0" borderId="0" xfId="0" applyAlignment="1" applyProtection="1">
      <alignment horizontal="left" vertical="top" textRotation="90"/>
    </xf>
    <xf numFmtId="0" fontId="0" fillId="0" borderId="0" xfId="0" applyAlignment="1" applyProtection="1">
      <alignment horizontal="right"/>
    </xf>
    <xf numFmtId="0" fontId="0" fillId="0" borderId="0" xfId="0" applyAlignment="1" applyProtection="1">
      <alignment horizontal="right" vertical="top"/>
    </xf>
    <xf numFmtId="10" fontId="22" fillId="4" borderId="34" xfId="1" applyNumberFormat="1" applyFont="1" applyFill="1" applyBorder="1" applyAlignment="1" applyProtection="1">
      <alignment horizontal="right"/>
    </xf>
    <xf numFmtId="178" fontId="0" fillId="0" borderId="0" xfId="0" applyNumberFormat="1" applyAlignment="1">
      <alignment horizontal="right"/>
    </xf>
    <xf numFmtId="0" fontId="9" fillId="4" borderId="12" xfId="0" applyFont="1" applyFill="1" applyBorder="1" applyAlignment="1" applyProtection="1">
      <alignment horizontal="left"/>
    </xf>
    <xf numFmtId="0" fontId="9" fillId="4" borderId="0" xfId="0" applyFont="1" applyFill="1" applyBorder="1" applyProtection="1"/>
    <xf numFmtId="0" fontId="9" fillId="0" borderId="0" xfId="0" applyFont="1" applyFill="1" applyBorder="1" applyAlignment="1" applyProtection="1">
      <alignment horizontal="left"/>
    </xf>
    <xf numFmtId="10" fontId="27" fillId="0" borderId="0" xfId="1" applyNumberFormat="1" applyFont="1" applyFill="1" applyBorder="1" applyAlignment="1" applyProtection="1"/>
    <xf numFmtId="0" fontId="0" fillId="0" borderId="0" xfId="0" applyFill="1" applyBorder="1" applyProtection="1"/>
    <xf numFmtId="0" fontId="0" fillId="0" borderId="0" xfId="0" quotePrefix="1" applyFont="1" applyFill="1" applyBorder="1" applyAlignment="1" applyProtection="1">
      <alignment horizontal="right"/>
    </xf>
    <xf numFmtId="9" fontId="30" fillId="0" borderId="0" xfId="1" applyFont="1" applyFill="1" applyBorder="1" applyAlignment="1" applyProtection="1">
      <alignment horizontal="right" vertical="center" wrapText="1" indent="1"/>
      <protection locked="0"/>
    </xf>
    <xf numFmtId="0" fontId="0" fillId="0" borderId="0" xfId="0" applyFill="1" applyBorder="1" applyAlignment="1" applyProtection="1">
      <alignment horizontal="left"/>
    </xf>
    <xf numFmtId="0" fontId="8" fillId="4" borderId="14" xfId="0" applyFont="1" applyFill="1" applyBorder="1" applyAlignment="1" applyProtection="1">
      <alignment horizontal="left" vertical="center"/>
    </xf>
    <xf numFmtId="0" fontId="1" fillId="4" borderId="13" xfId="0" applyFont="1" applyFill="1" applyBorder="1" applyAlignment="1" applyProtection="1">
      <alignment horizontal="left" vertical="center" wrapText="1"/>
    </xf>
    <xf numFmtId="0" fontId="0" fillId="0" borderId="13" xfId="0" applyFill="1" applyBorder="1" applyAlignment="1" applyProtection="1"/>
    <xf numFmtId="0" fontId="9" fillId="4" borderId="15" xfId="0" applyFont="1" applyFill="1" applyBorder="1" applyAlignment="1" applyProtection="1"/>
    <xf numFmtId="0" fontId="0" fillId="0" borderId="1" xfId="0" applyFill="1" applyBorder="1" applyAlignment="1" applyProtection="1"/>
    <xf numFmtId="0" fontId="8" fillId="4" borderId="13" xfId="0" applyFont="1" applyFill="1" applyBorder="1" applyAlignment="1" applyProtection="1">
      <alignment horizontal="left" vertical="center"/>
    </xf>
    <xf numFmtId="180" fontId="1" fillId="0" borderId="0" xfId="0" applyNumberFormat="1" applyFont="1" applyAlignment="1" applyProtection="1">
      <alignment horizontal="left"/>
    </xf>
    <xf numFmtId="180" fontId="1" fillId="0" borderId="0" xfId="0" applyNumberFormat="1" applyFont="1" applyAlignment="1">
      <alignment horizontal="left"/>
    </xf>
    <xf numFmtId="0" fontId="7" fillId="0" borderId="0" xfId="0" applyFont="1" applyAlignment="1" applyProtection="1">
      <alignment horizontal="right"/>
    </xf>
    <xf numFmtId="0" fontId="9" fillId="0" borderId="0" xfId="0" applyFont="1" applyAlignment="1" applyProtection="1">
      <alignment horizontal="left"/>
    </xf>
    <xf numFmtId="14" fontId="9" fillId="4" borderId="0" xfId="0" applyNumberFormat="1" applyFont="1" applyFill="1" applyBorder="1" applyAlignment="1" applyProtection="1">
      <alignment horizontal="center"/>
      <protection locked="0"/>
    </xf>
    <xf numFmtId="14" fontId="9" fillId="4" borderId="0" xfId="0" applyNumberFormat="1" applyFont="1" applyFill="1" applyBorder="1" applyAlignment="1" applyProtection="1">
      <alignment horizontal="right"/>
      <protection locked="0"/>
    </xf>
    <xf numFmtId="0" fontId="1" fillId="0" borderId="0" xfId="0" applyFont="1" applyAlignment="1" applyProtection="1">
      <alignment horizontal="right"/>
    </xf>
    <xf numFmtId="0" fontId="32" fillId="0" borderId="4" xfId="0" applyFont="1" applyFill="1" applyBorder="1" applyAlignment="1" applyProtection="1">
      <alignment horizontal="right"/>
    </xf>
    <xf numFmtId="175" fontId="23" fillId="0" borderId="0" xfId="0" applyNumberFormat="1" applyFont="1" applyAlignment="1">
      <alignment horizontal="right"/>
    </xf>
    <xf numFmtId="0" fontId="23" fillId="0" borderId="0" xfId="0" applyFont="1" applyProtection="1"/>
    <xf numFmtId="175" fontId="32" fillId="0" borderId="4" xfId="0" applyNumberFormat="1" applyFont="1" applyFill="1" applyBorder="1" applyProtection="1"/>
    <xf numFmtId="22" fontId="22" fillId="0" borderId="34" xfId="0" applyNumberFormat="1" applyFont="1" applyBorder="1" applyAlignment="1" applyProtection="1">
      <alignment horizontal="center"/>
    </xf>
    <xf numFmtId="175" fontId="22" fillId="0" borderId="34" xfId="0" applyNumberFormat="1" applyFont="1" applyFill="1" applyBorder="1" applyProtection="1"/>
    <xf numFmtId="0" fontId="32" fillId="0" borderId="4" xfId="0" quotePrefix="1" applyFont="1" applyFill="1" applyBorder="1" applyAlignment="1" applyProtection="1">
      <alignment horizontal="center"/>
    </xf>
    <xf numFmtId="0" fontId="0" fillId="0" borderId="0" xfId="0" applyAlignment="1" applyProtection="1"/>
    <xf numFmtId="0" fontId="0" fillId="0" borderId="0" xfId="0" applyAlignment="1">
      <alignment horizontal="left"/>
    </xf>
    <xf numFmtId="0" fontId="0" fillId="0" borderId="0" xfId="0" applyBorder="1" applyAlignment="1">
      <alignment vertical="center" wrapText="1"/>
    </xf>
    <xf numFmtId="0" fontId="1" fillId="4" borderId="0" xfId="0" applyNumberFormat="1" applyFont="1" applyFill="1" applyBorder="1" applyAlignment="1" applyProtection="1">
      <alignment horizontal="left" vertical="top"/>
    </xf>
    <xf numFmtId="0" fontId="0" fillId="0" borderId="0" xfId="0" applyBorder="1" applyAlignment="1"/>
    <xf numFmtId="0" fontId="2" fillId="0" borderId="6" xfId="0" applyFont="1" applyBorder="1" applyAlignment="1" applyProtection="1">
      <alignment horizontal="left" vertical="top"/>
    </xf>
    <xf numFmtId="0" fontId="2" fillId="0" borderId="0" xfId="0" applyFont="1" applyBorder="1" applyAlignment="1">
      <alignment horizontal="left" vertical="top"/>
    </xf>
    <xf numFmtId="0" fontId="0" fillId="2" borderId="23" xfId="0" applyFill="1" applyBorder="1" applyAlignment="1" applyProtection="1"/>
    <xf numFmtId="0" fontId="0" fillId="0" borderId="46" xfId="0" applyBorder="1" applyProtection="1"/>
    <xf numFmtId="0" fontId="2" fillId="0" borderId="46" xfId="0" applyFont="1" applyBorder="1" applyProtection="1"/>
    <xf numFmtId="0" fontId="0" fillId="0" borderId="47" xfId="0" applyBorder="1" applyProtection="1"/>
    <xf numFmtId="0" fontId="10" fillId="2" borderId="23" xfId="0" applyFont="1" applyFill="1" applyBorder="1" applyAlignment="1" applyProtection="1"/>
    <xf numFmtId="0" fontId="0" fillId="0" borderId="45" xfId="0" applyBorder="1" applyProtection="1"/>
    <xf numFmtId="0" fontId="29" fillId="0" borderId="46" xfId="0" applyFont="1" applyBorder="1" applyProtection="1"/>
    <xf numFmtId="14" fontId="0" fillId="7" borderId="48" xfId="0" applyNumberFormat="1" applyFont="1" applyFill="1" applyBorder="1" applyAlignment="1" applyProtection="1">
      <alignment vertical="center"/>
      <protection locked="0"/>
    </xf>
    <xf numFmtId="14" fontId="1" fillId="2" borderId="48" xfId="0" applyNumberFormat="1" applyFont="1" applyFill="1" applyBorder="1" applyAlignment="1" applyProtection="1">
      <alignment horizontal="left" vertical="center"/>
    </xf>
    <xf numFmtId="14" fontId="1" fillId="7" borderId="11" xfId="0" applyNumberFormat="1" applyFont="1" applyFill="1" applyBorder="1" applyAlignment="1" applyProtection="1">
      <alignment horizontal="left" vertical="center"/>
      <protection locked="0"/>
    </xf>
    <xf numFmtId="0" fontId="0" fillId="4" borderId="0" xfId="0" applyFont="1" applyFill="1" applyBorder="1" applyAlignment="1" applyProtection="1">
      <alignment horizontal="right"/>
    </xf>
    <xf numFmtId="0" fontId="22" fillId="0" borderId="55" xfId="0" applyFont="1" applyBorder="1" applyProtection="1"/>
    <xf numFmtId="175" fontId="22" fillId="0" borderId="55" xfId="0" applyNumberFormat="1" applyFont="1" applyFill="1" applyBorder="1" applyProtection="1"/>
    <xf numFmtId="10" fontId="22" fillId="4" borderId="55" xfId="1" applyNumberFormat="1" applyFont="1" applyFill="1" applyBorder="1" applyAlignment="1" applyProtection="1">
      <alignment horizontal="right"/>
    </xf>
    <xf numFmtId="0" fontId="22" fillId="0" borderId="56" xfId="0" applyFont="1" applyBorder="1" applyAlignment="1" applyProtection="1">
      <alignment horizontal="right"/>
    </xf>
    <xf numFmtId="4" fontId="38" fillId="4" borderId="52" xfId="0" applyNumberFormat="1" applyFont="1" applyFill="1" applyBorder="1" applyAlignment="1">
      <alignment horizontal="right" vertical="center" wrapText="1"/>
    </xf>
    <xf numFmtId="0" fontId="22" fillId="0" borderId="52" xfId="0" applyFont="1" applyBorder="1" applyAlignment="1" applyProtection="1">
      <alignment horizontal="right"/>
    </xf>
    <xf numFmtId="0" fontId="22" fillId="4" borderId="36" xfId="0" applyFont="1" applyFill="1" applyBorder="1" applyAlignment="1" applyProtection="1">
      <alignment horizontal="left"/>
    </xf>
    <xf numFmtId="0" fontId="22" fillId="4" borderId="52" xfId="0" applyFont="1" applyFill="1" applyBorder="1" applyAlignment="1" applyProtection="1">
      <alignment horizontal="left"/>
    </xf>
    <xf numFmtId="0" fontId="22" fillId="4" borderId="54" xfId="0" applyFont="1" applyFill="1" applyBorder="1" applyAlignment="1" applyProtection="1">
      <alignment horizontal="left"/>
    </xf>
    <xf numFmtId="174" fontId="22" fillId="4" borderId="57" xfId="0" applyNumberFormat="1" applyFont="1" applyFill="1" applyBorder="1" applyAlignment="1" applyProtection="1">
      <alignment horizontal="left"/>
    </xf>
    <xf numFmtId="0" fontId="22" fillId="4" borderId="58" xfId="0" applyFont="1" applyFill="1" applyBorder="1" applyAlignment="1" applyProtection="1">
      <alignment horizontal="left"/>
    </xf>
    <xf numFmtId="0" fontId="22" fillId="4" borderId="59" xfId="0" applyFont="1" applyFill="1" applyBorder="1" applyAlignment="1" applyProtection="1">
      <alignment horizontal="left"/>
    </xf>
    <xf numFmtId="0" fontId="22" fillId="4" borderId="57" xfId="0" applyFont="1" applyFill="1" applyBorder="1" applyAlignment="1" applyProtection="1">
      <alignment horizontal="left"/>
    </xf>
    <xf numFmtId="0" fontId="22" fillId="0" borderId="50" xfId="0" applyFont="1" applyFill="1" applyBorder="1" applyAlignment="1" applyProtection="1">
      <alignment horizontal="left"/>
    </xf>
    <xf numFmtId="169" fontId="22" fillId="0" borderId="52" xfId="0" applyNumberFormat="1" applyFont="1" applyFill="1" applyBorder="1" applyAlignment="1" applyProtection="1">
      <alignment horizontal="left"/>
    </xf>
    <xf numFmtId="0" fontId="22" fillId="0" borderId="54" xfId="0" applyFont="1" applyFill="1" applyBorder="1" applyAlignment="1" applyProtection="1">
      <alignment horizontal="left"/>
    </xf>
    <xf numFmtId="10" fontId="27" fillId="4" borderId="60" xfId="1" applyNumberFormat="1" applyFont="1" applyFill="1" applyBorder="1" applyAlignment="1" applyProtection="1">
      <alignment horizontal="left"/>
    </xf>
    <xf numFmtId="10" fontId="27" fillId="0" borderId="58" xfId="1" applyNumberFormat="1" applyFont="1" applyFill="1" applyBorder="1" applyAlignment="1" applyProtection="1">
      <alignment horizontal="left"/>
    </xf>
    <xf numFmtId="10" fontId="27" fillId="4" borderId="59" xfId="1" applyNumberFormat="1" applyFont="1" applyFill="1" applyBorder="1" applyAlignment="1" applyProtection="1">
      <alignment horizontal="left"/>
    </xf>
    <xf numFmtId="4" fontId="0" fillId="4" borderId="0" xfId="0" applyNumberFormat="1" applyFont="1" applyFill="1" applyBorder="1" applyProtection="1"/>
    <xf numFmtId="166" fontId="6" fillId="3" borderId="5" xfId="0" applyNumberFormat="1" applyFont="1" applyFill="1" applyBorder="1" applyAlignment="1" applyProtection="1"/>
    <xf numFmtId="0" fontId="0" fillId="0" borderId="0" xfId="0" applyNumberFormat="1" applyAlignment="1" applyProtection="1"/>
    <xf numFmtId="0" fontId="7" fillId="4" borderId="0" xfId="0" applyFont="1" applyFill="1" applyBorder="1" applyAlignment="1" applyProtection="1">
      <alignment vertical="top"/>
    </xf>
    <xf numFmtId="0" fontId="0" fillId="4" borderId="0" xfId="0" applyNumberFormat="1" applyFont="1" applyFill="1" applyBorder="1" applyAlignment="1" applyProtection="1">
      <alignment horizontal="left" vertical="top"/>
    </xf>
    <xf numFmtId="4" fontId="0" fillId="0" borderId="0" xfId="0" applyNumberFormat="1" applyAlignment="1" applyProtection="1">
      <alignment vertical="top"/>
    </xf>
    <xf numFmtId="0" fontId="0" fillId="0" borderId="0" xfId="0" applyFill="1" applyBorder="1" applyAlignment="1">
      <alignment horizontal="center" vertical="top" wrapText="1"/>
    </xf>
    <xf numFmtId="0" fontId="1" fillId="4" borderId="0" xfId="0" applyNumberFormat="1" applyFont="1" applyFill="1" applyBorder="1" applyAlignment="1" applyProtection="1">
      <alignment horizontal="center" vertical="center" wrapText="1"/>
    </xf>
    <xf numFmtId="0" fontId="1" fillId="2" borderId="5" xfId="0" applyFont="1" applyFill="1" applyBorder="1" applyProtection="1"/>
    <xf numFmtId="0" fontId="1" fillId="2" borderId="4" xfId="0" applyFont="1" applyFill="1" applyBorder="1" applyProtection="1"/>
    <xf numFmtId="0" fontId="1" fillId="2" borderId="3" xfId="0" applyFont="1" applyFill="1" applyBorder="1" applyProtection="1"/>
    <xf numFmtId="0" fontId="1" fillId="2" borderId="5" xfId="0" applyFont="1" applyFill="1" applyBorder="1" applyAlignment="1" applyProtection="1">
      <alignment vertical="top"/>
    </xf>
    <xf numFmtId="0" fontId="0" fillId="2" borderId="5" xfId="0" applyNumberFormat="1" applyFill="1" applyBorder="1" applyProtection="1"/>
    <xf numFmtId="167" fontId="4" fillId="2" borderId="3" xfId="0" applyNumberFormat="1" applyFont="1" applyFill="1" applyBorder="1" applyAlignment="1" applyProtection="1">
      <alignment horizontal="left"/>
    </xf>
    <xf numFmtId="0" fontId="1" fillId="2" borderId="5" xfId="0" applyNumberFormat="1" applyFont="1" applyFill="1" applyBorder="1" applyAlignment="1" applyProtection="1">
      <alignment horizontal="left"/>
    </xf>
    <xf numFmtId="167" fontId="4" fillId="2" borderId="5" xfId="0" applyNumberFormat="1" applyFont="1" applyFill="1" applyBorder="1" applyAlignment="1" applyProtection="1">
      <alignment horizontal="left"/>
    </xf>
    <xf numFmtId="0" fontId="9" fillId="4"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xf>
    <xf numFmtId="0" fontId="5" fillId="4" borderId="0" xfId="0" applyFont="1" applyFill="1" applyBorder="1" applyAlignment="1" applyProtection="1">
      <alignment horizontal="right" vertical="center"/>
    </xf>
    <xf numFmtId="0" fontId="0" fillId="4" borderId="0" xfId="0" applyFill="1" applyBorder="1" applyProtection="1"/>
    <xf numFmtId="0" fontId="10" fillId="4" borderId="0" xfId="0" applyFont="1" applyFill="1" applyBorder="1" applyAlignment="1" applyProtection="1">
      <alignment horizontal="left" vertical="center"/>
    </xf>
    <xf numFmtId="0" fontId="9" fillId="4" borderId="0" xfId="0" applyNumberFormat="1" applyFont="1" applyFill="1" applyBorder="1" applyProtection="1"/>
    <xf numFmtId="0" fontId="1" fillId="4" borderId="0" xfId="0" applyFont="1" applyFill="1" applyBorder="1" applyAlignment="1" applyProtection="1">
      <alignment horizontal="center" vertical="center"/>
    </xf>
    <xf numFmtId="0" fontId="9" fillId="4" borderId="0" xfId="0" applyNumberFormat="1" applyFont="1" applyFill="1" applyBorder="1" applyAlignment="1" applyProtection="1">
      <alignment horizontal="left"/>
    </xf>
    <xf numFmtId="0" fontId="7" fillId="4" borderId="0" xfId="0" applyNumberFormat="1" applyFont="1" applyFill="1" applyBorder="1" applyAlignment="1" applyProtection="1">
      <alignment vertical="top"/>
    </xf>
    <xf numFmtId="0" fontId="7" fillId="4" borderId="0" xfId="0" applyNumberFormat="1" applyFont="1" applyFill="1" applyBorder="1" applyAlignment="1" applyProtection="1">
      <alignment horizontal="left" vertical="top"/>
    </xf>
    <xf numFmtId="0" fontId="0" fillId="4" borderId="0" xfId="0" applyFill="1" applyBorder="1" applyAlignment="1" applyProtection="1">
      <alignment horizontal="left" vertical="center"/>
    </xf>
    <xf numFmtId="0" fontId="12" fillId="4" borderId="0" xfId="0" applyNumberFormat="1" applyFont="1" applyFill="1" applyBorder="1" applyProtection="1"/>
    <xf numFmtId="0" fontId="0" fillId="4" borderId="0" xfId="0" applyNumberFormat="1" applyFill="1" applyBorder="1" applyProtection="1"/>
    <xf numFmtId="0" fontId="0" fillId="4" borderId="0" xfId="0" applyNumberFormat="1" applyFill="1" applyBorder="1" applyAlignment="1" applyProtection="1">
      <alignment horizontal="center" vertical="top"/>
    </xf>
    <xf numFmtId="0" fontId="0" fillId="4" borderId="6" xfId="0" applyNumberFormat="1" applyFill="1" applyBorder="1" applyAlignment="1" applyProtection="1">
      <alignment horizontal="center" vertical="center"/>
    </xf>
    <xf numFmtId="0" fontId="0" fillId="4" borderId="6" xfId="0" applyNumberFormat="1" applyFont="1" applyFill="1" applyBorder="1" applyProtection="1"/>
    <xf numFmtId="14" fontId="22" fillId="4" borderId="19" xfId="0" applyNumberFormat="1" applyFont="1" applyFill="1" applyBorder="1" applyProtection="1">
      <protection locked="0"/>
    </xf>
    <xf numFmtId="4" fontId="22" fillId="4" borderId="17" xfId="0" applyNumberFormat="1" applyFont="1" applyFill="1" applyBorder="1" applyProtection="1"/>
    <xf numFmtId="0" fontId="0" fillId="4" borderId="0" xfId="0" applyNumberFormat="1" applyFill="1" applyBorder="1" applyAlignment="1" applyProtection="1"/>
    <xf numFmtId="0" fontId="0" fillId="0" borderId="0" xfId="0" applyNumberFormat="1" applyBorder="1" applyAlignment="1" applyProtection="1"/>
    <xf numFmtId="4" fontId="23" fillId="4" borderId="6" xfId="0" applyNumberFormat="1" applyFont="1" applyFill="1" applyBorder="1" applyAlignment="1" applyProtection="1">
      <alignment horizontal="center"/>
    </xf>
    <xf numFmtId="166" fontId="6" fillId="3" borderId="6" xfId="0" applyNumberFormat="1" applyFont="1" applyFill="1" applyBorder="1" applyAlignment="1" applyProtection="1"/>
    <xf numFmtId="0" fontId="0" fillId="4" borderId="7" xfId="0" applyNumberFormat="1" applyFont="1" applyFill="1" applyBorder="1" applyAlignment="1" applyProtection="1">
      <alignment horizontal="center" vertical="center"/>
    </xf>
    <xf numFmtId="4" fontId="23" fillId="4" borderId="4" xfId="0" applyNumberFormat="1" applyFont="1" applyFill="1" applyBorder="1" applyAlignment="1" applyProtection="1">
      <alignment horizontal="center"/>
    </xf>
    <xf numFmtId="0" fontId="0" fillId="4" borderId="3" xfId="0" applyNumberFormat="1" applyFill="1" applyBorder="1" applyAlignment="1" applyProtection="1"/>
    <xf numFmtId="0" fontId="1" fillId="4" borderId="5" xfId="0" applyNumberFormat="1" applyFont="1" applyFill="1" applyBorder="1" applyAlignment="1" applyProtection="1">
      <alignment horizontal="left" vertical="top"/>
    </xf>
    <xf numFmtId="0" fontId="0" fillId="4" borderId="4" xfId="0" applyNumberFormat="1" applyFill="1" applyBorder="1" applyAlignment="1" applyProtection="1"/>
    <xf numFmtId="166" fontId="6" fillId="3" borderId="48" xfId="0" applyNumberFormat="1" applyFont="1" applyFill="1" applyBorder="1" applyAlignment="1" applyProtection="1"/>
    <xf numFmtId="4" fontId="22" fillId="4" borderId="8" xfId="0" applyNumberFormat="1" applyFont="1" applyFill="1" applyBorder="1" applyAlignment="1" applyProtection="1"/>
    <xf numFmtId="4" fontId="22" fillId="4" borderId="17" xfId="0" applyNumberFormat="1" applyFont="1" applyFill="1" applyBorder="1" applyAlignment="1" applyProtection="1"/>
    <xf numFmtId="0" fontId="33" fillId="0" borderId="0" xfId="0" applyFont="1" applyAlignment="1" applyProtection="1">
      <alignment horizontal="right" vertical="center"/>
    </xf>
    <xf numFmtId="10" fontId="22" fillId="0" borderId="52" xfId="1" applyNumberFormat="1" applyFont="1" applyFill="1" applyBorder="1" applyAlignment="1" applyProtection="1">
      <alignment horizontal="left"/>
    </xf>
    <xf numFmtId="0" fontId="39" fillId="0" borderId="0" xfId="0" applyFont="1" applyAlignment="1" applyProtection="1">
      <alignment vertical="center"/>
    </xf>
    <xf numFmtId="0" fontId="9" fillId="4" borderId="6" xfId="0" applyFont="1" applyFill="1" applyBorder="1" applyProtection="1"/>
    <xf numFmtId="169" fontId="27" fillId="4" borderId="0" xfId="0" applyNumberFormat="1" applyFont="1" applyFill="1" applyBorder="1" applyAlignment="1" applyProtection="1"/>
    <xf numFmtId="14" fontId="39" fillId="0" borderId="0" xfId="0" applyNumberFormat="1" applyFont="1" applyAlignment="1" applyProtection="1">
      <alignment vertical="center"/>
    </xf>
    <xf numFmtId="0" fontId="9" fillId="0" borderId="0" xfId="0" applyFont="1" applyBorder="1" applyAlignment="1" applyProtection="1">
      <alignment horizontal="center" vertical="center"/>
    </xf>
    <xf numFmtId="0" fontId="0" fillId="4" borderId="0" xfId="0" applyFont="1" applyFill="1" applyBorder="1" applyAlignment="1" applyProtection="1">
      <alignment horizontal="left"/>
    </xf>
    <xf numFmtId="0" fontId="40" fillId="0" borderId="0" xfId="0" applyFont="1" applyAlignment="1" applyProtection="1"/>
    <xf numFmtId="0" fontId="42" fillId="0" borderId="0" xfId="0" applyFont="1" applyAlignment="1" applyProtection="1">
      <alignment horizontal="left"/>
    </xf>
    <xf numFmtId="0" fontId="36" fillId="9" borderId="9" xfId="0" applyFont="1" applyFill="1" applyBorder="1" applyProtection="1">
      <protection locked="0"/>
    </xf>
    <xf numFmtId="0" fontId="16" fillId="9" borderId="10" xfId="0" applyFont="1" applyFill="1" applyBorder="1" applyProtection="1">
      <protection locked="0"/>
    </xf>
    <xf numFmtId="0" fontId="36" fillId="9" borderId="10" xfId="0" applyFont="1" applyFill="1" applyBorder="1" applyProtection="1">
      <protection locked="0"/>
    </xf>
    <xf numFmtId="0" fontId="16" fillId="9" borderId="11" xfId="0" applyFont="1" applyFill="1" applyBorder="1" applyProtection="1">
      <protection locked="0"/>
    </xf>
    <xf numFmtId="0" fontId="0" fillId="0" borderId="0" xfId="0" applyFill="1" applyProtection="1">
      <protection locked="0"/>
    </xf>
    <xf numFmtId="0" fontId="0" fillId="0" borderId="0" xfId="0" applyFont="1" applyFill="1" applyProtection="1">
      <protection locked="0"/>
    </xf>
    <xf numFmtId="0" fontId="1" fillId="0" borderId="0" xfId="0" applyFont="1" applyFill="1" applyProtection="1">
      <protection locked="0"/>
    </xf>
    <xf numFmtId="14" fontId="0" fillId="0" borderId="0" xfId="0" applyNumberFormat="1" applyFill="1" applyProtection="1">
      <protection locked="0"/>
    </xf>
    <xf numFmtId="0" fontId="0" fillId="2" borderId="0" xfId="0" applyFill="1" applyProtection="1"/>
    <xf numFmtId="0" fontId="1" fillId="0" borderId="0" xfId="0" applyFont="1" applyProtection="1"/>
    <xf numFmtId="9" fontId="0" fillId="11" borderId="48" xfId="1" applyFont="1" applyFill="1" applyBorder="1" applyProtection="1">
      <protection locked="0"/>
    </xf>
    <xf numFmtId="9" fontId="26" fillId="0" borderId="0" xfId="0" applyNumberFormat="1" applyFont="1" applyBorder="1" applyProtection="1"/>
    <xf numFmtId="0" fontId="26" fillId="0" borderId="0" xfId="0" applyFont="1" applyBorder="1" applyProtection="1">
      <protection locked="0"/>
    </xf>
    <xf numFmtId="0" fontId="9" fillId="0" borderId="0" xfId="0" applyFont="1" applyBorder="1" applyProtection="1"/>
    <xf numFmtId="9" fontId="9" fillId="0" borderId="0" xfId="0" applyNumberFormat="1" applyFont="1" applyBorder="1" applyProtection="1"/>
    <xf numFmtId="173" fontId="9" fillId="4" borderId="0" xfId="0" applyNumberFormat="1" applyFont="1" applyFill="1" applyBorder="1" applyProtection="1"/>
    <xf numFmtId="0" fontId="0" fillId="0" borderId="15" xfId="0" applyBorder="1" applyProtection="1"/>
    <xf numFmtId="0" fontId="43" fillId="0" borderId="0" xfId="0" applyFont="1" applyAlignment="1" applyProtection="1">
      <alignment horizontal="right" vertical="center"/>
    </xf>
    <xf numFmtId="168" fontId="21" fillId="0" borderId="28" xfId="0" applyNumberFormat="1" applyFont="1" applyFill="1" applyBorder="1" applyAlignment="1" applyProtection="1">
      <alignment horizontal="left" vertical="center" wrapText="1" indent="1"/>
      <protection locked="0"/>
    </xf>
    <xf numFmtId="3" fontId="21" fillId="0" borderId="27" xfId="0" applyNumberFormat="1" applyFont="1" applyFill="1" applyBorder="1" applyAlignment="1" applyProtection="1">
      <alignment horizontal="left" vertical="center" wrapText="1" indent="1"/>
      <protection locked="0"/>
    </xf>
    <xf numFmtId="14" fontId="31" fillId="0" borderId="19" xfId="0" applyNumberFormat="1" applyFont="1" applyFill="1" applyBorder="1" applyAlignment="1" applyProtection="1">
      <alignment horizontal="left"/>
      <protection locked="0"/>
    </xf>
    <xf numFmtId="0" fontId="0" fillId="4" borderId="0" xfId="0" applyFill="1" applyAlignment="1" applyProtection="1">
      <alignment horizontal="left"/>
    </xf>
    <xf numFmtId="0" fontId="2" fillId="0" borderId="0" xfId="0" applyFont="1" applyAlignment="1" applyProtection="1">
      <alignment horizontal="left"/>
    </xf>
    <xf numFmtId="0" fontId="0" fillId="0" borderId="0" xfId="0" applyFill="1" applyAlignment="1" applyProtection="1">
      <alignment horizontal="left"/>
    </xf>
    <xf numFmtId="0" fontId="39" fillId="0" borderId="0" xfId="0" applyFont="1" applyAlignment="1" applyProtection="1">
      <alignment horizontal="left" vertical="center"/>
    </xf>
    <xf numFmtId="0" fontId="0" fillId="0" borderId="16" xfId="0" applyFill="1" applyBorder="1" applyAlignment="1" applyProtection="1">
      <alignment horizontal="left"/>
    </xf>
    <xf numFmtId="0" fontId="0" fillId="0" borderId="21" xfId="0" applyFill="1" applyBorder="1" applyAlignment="1" applyProtection="1">
      <alignment horizontal="left"/>
    </xf>
    <xf numFmtId="0" fontId="0" fillId="0" borderId="20" xfId="0" applyFill="1" applyBorder="1" applyAlignment="1" applyProtection="1">
      <alignment horizontal="left"/>
    </xf>
    <xf numFmtId="0" fontId="8" fillId="4" borderId="0" xfId="0" applyFont="1" applyFill="1" applyBorder="1" applyAlignment="1" applyProtection="1">
      <alignment horizontal="left"/>
    </xf>
    <xf numFmtId="0" fontId="2" fillId="4" borderId="0" xfId="0" applyFont="1" applyFill="1" applyAlignment="1" applyProtection="1">
      <alignment horizontal="left"/>
    </xf>
    <xf numFmtId="0" fontId="0" fillId="4" borderId="0" xfId="0" applyFill="1" applyBorder="1" applyAlignment="1" applyProtection="1">
      <alignment horizontal="left"/>
    </xf>
    <xf numFmtId="0" fontId="16" fillId="3" borderId="3" xfId="0" applyFont="1" applyFill="1" applyBorder="1" applyAlignment="1" applyProtection="1">
      <alignment horizontal="left" vertical="top" wrapText="1"/>
    </xf>
    <xf numFmtId="0" fontId="2" fillId="7" borderId="4"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top" wrapText="1"/>
    </xf>
    <xf numFmtId="0" fontId="16" fillId="3" borderId="4" xfId="0" applyFont="1" applyFill="1" applyBorder="1" applyAlignment="1" applyProtection="1">
      <alignment horizontal="left" vertical="top" wrapText="1"/>
    </xf>
    <xf numFmtId="0" fontId="2" fillId="2" borderId="40" xfId="0" applyFont="1" applyFill="1" applyBorder="1" applyAlignment="1" applyProtection="1">
      <alignment horizontal="left" vertical="center"/>
    </xf>
    <xf numFmtId="0" fontId="2" fillId="2" borderId="40" xfId="0" applyFont="1" applyFill="1" applyBorder="1" applyAlignment="1" applyProtection="1">
      <alignment horizontal="left"/>
    </xf>
    <xf numFmtId="0" fontId="2" fillId="2" borderId="8" xfId="0" applyFont="1" applyFill="1" applyBorder="1" applyAlignment="1" applyProtection="1">
      <alignment horizontal="left"/>
    </xf>
    <xf numFmtId="14" fontId="0" fillId="7" borderId="21" xfId="0" applyNumberFormat="1" applyFill="1" applyBorder="1" applyAlignment="1" applyProtection="1">
      <alignment horizontal="left" vertical="center"/>
      <protection locked="0"/>
    </xf>
    <xf numFmtId="0" fontId="25" fillId="0" borderId="0" xfId="0" applyFont="1" applyAlignment="1" applyProtection="1">
      <alignment horizontal="left"/>
    </xf>
    <xf numFmtId="0" fontId="0" fillId="2" borderId="0" xfId="0" applyFill="1" applyBorder="1" applyAlignment="1" applyProtection="1">
      <alignment horizontal="left"/>
    </xf>
    <xf numFmtId="14" fontId="0" fillId="7" borderId="41" xfId="0" applyNumberFormat="1" applyFill="1" applyBorder="1" applyAlignment="1" applyProtection="1">
      <alignment horizontal="left" vertical="center"/>
      <protection locked="0"/>
    </xf>
    <xf numFmtId="0" fontId="2" fillId="7" borderId="4"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xf>
    <xf numFmtId="0" fontId="4" fillId="3" borderId="5" xfId="0" applyFont="1" applyFill="1" applyBorder="1" applyAlignment="1" applyProtection="1">
      <alignment horizontal="left"/>
    </xf>
    <xf numFmtId="0" fontId="4" fillId="3" borderId="0" xfId="0" applyFont="1" applyFill="1" applyBorder="1" applyAlignment="1" applyProtection="1">
      <alignment horizontal="left"/>
    </xf>
    <xf numFmtId="0" fontId="4" fillId="3" borderId="7" xfId="0" applyFont="1" applyFill="1" applyBorder="1" applyAlignment="1" applyProtection="1">
      <alignment horizontal="left"/>
    </xf>
    <xf numFmtId="3" fontId="2" fillId="0" borderId="0" xfId="0" applyNumberFormat="1" applyFont="1" applyFill="1" applyAlignment="1" applyProtection="1">
      <alignment horizontal="left" vertical="center" indent="1"/>
    </xf>
    <xf numFmtId="3" fontId="2" fillId="0" borderId="0" xfId="0" applyNumberFormat="1" applyFont="1" applyAlignment="1" applyProtection="1">
      <alignment horizontal="left"/>
    </xf>
    <xf numFmtId="14" fontId="2" fillId="0" borderId="0" xfId="0" applyNumberFormat="1" applyFont="1" applyAlignment="1" applyProtection="1">
      <alignment horizontal="left"/>
    </xf>
    <xf numFmtId="0" fontId="37" fillId="0" borderId="0" xfId="0" applyFont="1" applyAlignment="1" applyProtection="1">
      <alignment horizontal="left"/>
      <protection locked="0"/>
    </xf>
    <xf numFmtId="14" fontId="0" fillId="0" borderId="21" xfId="0" applyNumberFormat="1" applyFill="1" applyBorder="1" applyAlignment="1" applyProtection="1">
      <alignment horizontal="left" vertical="center"/>
      <protection locked="0"/>
    </xf>
    <xf numFmtId="168" fontId="21" fillId="0" borderId="61" xfId="0" applyNumberFormat="1" applyFont="1" applyFill="1" applyBorder="1" applyAlignment="1" applyProtection="1">
      <alignment horizontal="left" vertical="center" wrapText="1" indent="1"/>
      <protection locked="0"/>
    </xf>
    <xf numFmtId="3" fontId="21" fillId="0" borderId="61" xfId="0" applyNumberFormat="1" applyFont="1" applyFill="1" applyBorder="1" applyAlignment="1" applyProtection="1">
      <alignment horizontal="left" vertical="center" wrapText="1" indent="1"/>
      <protection locked="0"/>
    </xf>
    <xf numFmtId="4" fontId="21" fillId="0" borderId="27" xfId="0" applyNumberFormat="1" applyFont="1" applyFill="1" applyBorder="1" applyAlignment="1" applyProtection="1">
      <alignment horizontal="left" vertical="center" wrapText="1" indent="1"/>
      <protection locked="0"/>
    </xf>
    <xf numFmtId="14" fontId="0" fillId="0" borderId="19" xfId="0" applyNumberFormat="1" applyFill="1" applyBorder="1" applyAlignment="1" applyProtection="1">
      <alignment horizontal="left"/>
      <protection locked="0"/>
    </xf>
    <xf numFmtId="0" fontId="2" fillId="0" borderId="0" xfId="0" applyFont="1" applyAlignment="1" applyProtection="1"/>
    <xf numFmtId="0" fontId="2" fillId="4" borderId="0" xfId="0" applyFont="1" applyFill="1" applyAlignment="1" applyProtection="1"/>
    <xf numFmtId="0" fontId="2" fillId="0" borderId="0" xfId="0" applyFont="1" applyAlignment="1" applyProtection="1">
      <protection locked="0"/>
    </xf>
    <xf numFmtId="0" fontId="0" fillId="4" borderId="0" xfId="0" applyFill="1" applyAlignment="1" applyProtection="1">
      <alignment wrapText="1"/>
    </xf>
    <xf numFmtId="0" fontId="2" fillId="4" borderId="0" xfId="0" applyFont="1" applyFill="1" applyAlignment="1" applyProtection="1">
      <protection locked="0"/>
    </xf>
    <xf numFmtId="0" fontId="5" fillId="3" borderId="3" xfId="0" applyFont="1" applyFill="1" applyBorder="1" applyAlignment="1" applyProtection="1">
      <alignment vertical="top" wrapText="1"/>
    </xf>
    <xf numFmtId="0" fontId="5" fillId="3" borderId="12" xfId="0" applyFont="1" applyFill="1" applyBorder="1" applyAlignment="1" applyProtection="1">
      <alignment vertical="top"/>
    </xf>
    <xf numFmtId="0" fontId="2" fillId="3" borderId="12" xfId="0" applyFont="1" applyFill="1" applyBorder="1" applyAlignment="1" applyProtection="1">
      <protection locked="0"/>
    </xf>
    <xf numFmtId="0" fontId="5" fillId="3" borderId="13" xfId="0" applyNumberFormat="1" applyFont="1" applyFill="1" applyBorder="1" applyAlignment="1" applyProtection="1">
      <alignment vertical="top"/>
    </xf>
    <xf numFmtId="49" fontId="0" fillId="3" borderId="14" xfId="0" applyNumberFormat="1" applyFill="1" applyBorder="1" applyAlignment="1">
      <alignment vertical="top"/>
    </xf>
    <xf numFmtId="0" fontId="2" fillId="2" borderId="14" xfId="0" applyFont="1" applyFill="1" applyBorder="1" applyAlignment="1" applyProtection="1">
      <alignment vertical="center"/>
    </xf>
    <xf numFmtId="0" fontId="2" fillId="2" borderId="12" xfId="0" applyFont="1" applyFill="1" applyBorder="1" applyAlignment="1" applyProtection="1"/>
    <xf numFmtId="0" fontId="2" fillId="2" borderId="6" xfId="0" applyFont="1" applyFill="1" applyBorder="1" applyAlignment="1" applyProtection="1"/>
    <xf numFmtId="0" fontId="2" fillId="2" borderId="5" xfId="0" applyFont="1" applyFill="1" applyBorder="1" applyAlignment="1" applyProtection="1"/>
    <xf numFmtId="0" fontId="2" fillId="8" borderId="2" xfId="0" applyFont="1" applyFill="1" applyBorder="1" applyAlignment="1" applyProtection="1">
      <alignment vertical="center"/>
    </xf>
    <xf numFmtId="0" fontId="2" fillId="8" borderId="4" xfId="0" applyFont="1" applyFill="1" applyBorder="1" applyAlignment="1" applyProtection="1">
      <alignment vertical="center" wrapText="1"/>
    </xf>
    <xf numFmtId="0" fontId="2" fillId="2" borderId="3" xfId="0" applyFont="1" applyFill="1" applyBorder="1" applyAlignment="1" applyProtection="1">
      <alignment vertical="center"/>
    </xf>
    <xf numFmtId="0" fontId="2" fillId="2" borderId="14" xfId="0" applyFont="1" applyFill="1" applyBorder="1" applyAlignment="1" applyProtection="1"/>
    <xf numFmtId="0" fontId="2" fillId="2" borderId="3" xfId="0" applyFont="1" applyFill="1" applyBorder="1" applyAlignment="1" applyProtection="1"/>
    <xf numFmtId="0" fontId="2" fillId="8" borderId="4" xfId="0" applyFont="1" applyFill="1" applyBorder="1" applyAlignment="1" applyProtection="1"/>
    <xf numFmtId="0" fontId="2" fillId="8" borderId="2" xfId="0" applyFont="1" applyFill="1" applyBorder="1" applyAlignment="1" applyProtection="1"/>
    <xf numFmtId="0" fontId="2" fillId="3" borderId="5" xfId="0" applyFont="1" applyFill="1" applyBorder="1" applyAlignment="1" applyProtection="1">
      <alignment vertical="center"/>
    </xf>
    <xf numFmtId="0" fontId="4" fillId="3" borderId="5" xfId="0" applyFont="1" applyFill="1" applyBorder="1" applyAlignment="1" applyProtection="1"/>
    <xf numFmtId="0" fontId="4" fillId="3" borderId="0" xfId="0" applyFont="1" applyFill="1" applyBorder="1" applyAlignment="1" applyProtection="1"/>
    <xf numFmtId="0" fontId="4" fillId="3" borderId="7" xfId="0" applyFont="1" applyFill="1" applyBorder="1" applyAlignment="1" applyProtection="1"/>
    <xf numFmtId="3" fontId="2" fillId="0" borderId="0" xfId="0" applyNumberFormat="1" applyFont="1" applyFill="1" applyAlignment="1" applyProtection="1">
      <alignment vertical="center"/>
    </xf>
    <xf numFmtId="14" fontId="31" fillId="0" borderId="19" xfId="0" applyNumberFormat="1" applyFont="1" applyFill="1" applyBorder="1" applyAlignment="1" applyProtection="1">
      <protection locked="0"/>
    </xf>
    <xf numFmtId="168" fontId="21" fillId="0" borderId="28" xfId="0" applyNumberFormat="1" applyFont="1" applyFill="1" applyBorder="1" applyAlignment="1" applyProtection="1">
      <alignment vertical="center" wrapText="1"/>
      <protection locked="0"/>
    </xf>
    <xf numFmtId="3" fontId="21" fillId="0" borderId="27" xfId="0" applyNumberFormat="1" applyFont="1" applyFill="1" applyBorder="1" applyAlignment="1" applyProtection="1">
      <alignment vertical="center" wrapText="1"/>
      <protection locked="0"/>
    </xf>
    <xf numFmtId="0" fontId="0" fillId="0" borderId="0" xfId="0" applyFill="1" applyAlignment="1" applyProtection="1">
      <alignment wrapText="1"/>
      <protection locked="0"/>
    </xf>
    <xf numFmtId="0" fontId="0" fillId="0" borderId="0" xfId="0" applyFill="1" applyAlignment="1" applyProtection="1">
      <alignment vertical="top" wrapText="1"/>
      <protection locked="0"/>
    </xf>
    <xf numFmtId="0" fontId="9" fillId="4" borderId="0" xfId="0" applyFont="1" applyFill="1"/>
    <xf numFmtId="0" fontId="0" fillId="2" borderId="0" xfId="0" applyFill="1" applyAlignment="1" applyProtection="1">
      <alignment vertical="top" wrapText="1"/>
    </xf>
    <xf numFmtId="0" fontId="1" fillId="4" borderId="0" xfId="0" applyFont="1" applyFill="1" applyProtection="1">
      <protection locked="0"/>
    </xf>
    <xf numFmtId="14" fontId="10" fillId="2" borderId="23" xfId="0" applyNumberFormat="1" applyFont="1" applyFill="1" applyBorder="1" applyAlignment="1" applyProtection="1">
      <alignment horizontal="right"/>
    </xf>
    <xf numFmtId="0" fontId="0" fillId="2" borderId="0" xfId="0" applyFont="1" applyFill="1" applyProtection="1"/>
    <xf numFmtId="0" fontId="26" fillId="2" borderId="0" xfId="0" applyFont="1" applyFill="1" applyBorder="1" applyProtection="1"/>
    <xf numFmtId="0" fontId="1" fillId="2" borderId="0" xfId="0" applyFont="1" applyFill="1" applyProtection="1"/>
    <xf numFmtId="0" fontId="44" fillId="12" borderId="19" xfId="0" applyFont="1" applyFill="1" applyBorder="1" applyAlignment="1">
      <alignment horizontal="center" vertical="center" wrapText="1"/>
    </xf>
    <xf numFmtId="3" fontId="21" fillId="7" borderId="19" xfId="4" applyNumberFormat="1" applyFont="1" applyFill="1" applyBorder="1" applyAlignment="1">
      <alignment horizontal="right" vertical="center" wrapText="1" indent="1"/>
    </xf>
    <xf numFmtId="0" fontId="31" fillId="0" borderId="0" xfId="4"/>
    <xf numFmtId="0" fontId="44" fillId="12" borderId="19" xfId="4" applyFont="1" applyFill="1" applyBorder="1" applyAlignment="1">
      <alignment horizontal="center" vertical="center" wrapText="1"/>
    </xf>
    <xf numFmtId="0" fontId="31" fillId="0" borderId="0" xfId="4" applyFill="1" applyBorder="1"/>
    <xf numFmtId="0" fontId="44" fillId="0" borderId="0" xfId="4" applyFont="1" applyFill="1" applyBorder="1" applyAlignment="1">
      <alignment horizontal="center" vertical="center" wrapText="1"/>
    </xf>
    <xf numFmtId="3" fontId="44" fillId="0" borderId="0" xfId="4" applyNumberFormat="1" applyFont="1" applyFill="1" applyBorder="1" applyAlignment="1">
      <alignment horizontal="center" vertical="center" wrapText="1"/>
    </xf>
    <xf numFmtId="3" fontId="21" fillId="0" borderId="0" xfId="4" applyNumberFormat="1" applyFont="1" applyFill="1" applyBorder="1" applyAlignment="1">
      <alignment horizontal="right" vertical="center" wrapText="1" indent="1"/>
    </xf>
    <xf numFmtId="0" fontId="31" fillId="0" borderId="0" xfId="4" applyAlignment="1">
      <alignment horizontal="left" indent="1"/>
    </xf>
    <xf numFmtId="0" fontId="31" fillId="0" borderId="0" xfId="4" applyAlignment="1">
      <alignment horizontal="left" wrapText="1" indent="1"/>
    </xf>
    <xf numFmtId="14" fontId="2" fillId="8" borderId="4" xfId="0" applyNumberFormat="1" applyFont="1" applyFill="1" applyBorder="1" applyAlignment="1" applyProtection="1"/>
    <xf numFmtId="0" fontId="1" fillId="0" borderId="0" xfId="0" applyFont="1"/>
    <xf numFmtId="0" fontId="2" fillId="2" borderId="12" xfId="0" applyFont="1" applyFill="1" applyBorder="1" applyAlignment="1" applyProtection="1">
      <alignment horizontal="left"/>
    </xf>
    <xf numFmtId="0" fontId="2" fillId="7" borderId="48" xfId="0" applyFont="1" applyFill="1" applyBorder="1" applyAlignment="1" applyProtection="1">
      <alignment horizontal="left" vertical="center" wrapText="1"/>
      <protection locked="0"/>
    </xf>
    <xf numFmtId="14" fontId="3" fillId="0" borderId="0" xfId="0" applyNumberFormat="1" applyFont="1" applyAlignment="1" applyProtection="1">
      <alignment horizontal="left" vertical="center"/>
    </xf>
    <xf numFmtId="14" fontId="16" fillId="3" borderId="14" xfId="0" applyNumberFormat="1" applyFont="1" applyFill="1" applyBorder="1" applyAlignment="1" applyProtection="1">
      <alignment horizontal="left" vertical="top" wrapText="1"/>
    </xf>
    <xf numFmtId="14" fontId="2" fillId="2" borderId="3" xfId="0" applyNumberFormat="1" applyFont="1" applyFill="1" applyBorder="1" applyAlignment="1" applyProtection="1">
      <alignment horizontal="left" vertical="center"/>
    </xf>
    <xf numFmtId="14" fontId="2" fillId="2" borderId="8" xfId="0" applyNumberFormat="1" applyFont="1" applyFill="1" applyBorder="1" applyAlignment="1" applyProtection="1">
      <alignment horizontal="left" vertical="center"/>
    </xf>
    <xf numFmtId="14" fontId="2" fillId="3" borderId="5" xfId="0" applyNumberFormat="1" applyFont="1" applyFill="1" applyBorder="1" applyAlignment="1" applyProtection="1">
      <alignment horizontal="left" vertical="center"/>
    </xf>
    <xf numFmtId="14" fontId="21" fillId="7" borderId="19" xfId="4" applyNumberFormat="1" applyFont="1" applyFill="1" applyBorder="1" applyAlignment="1">
      <alignment horizontal="right" vertical="center" wrapText="1" indent="1"/>
    </xf>
    <xf numFmtId="14" fontId="21" fillId="0" borderId="19" xfId="4" applyNumberFormat="1" applyFont="1" applyFill="1" applyBorder="1" applyAlignment="1" applyProtection="1">
      <alignment horizontal="right" vertical="center" wrapText="1" indent="1"/>
      <protection locked="0"/>
    </xf>
    <xf numFmtId="3" fontId="21" fillId="0" borderId="19" xfId="4" applyNumberFormat="1" applyFont="1" applyFill="1" applyBorder="1" applyAlignment="1" applyProtection="1">
      <alignment horizontal="right" vertical="center" wrapText="1" indent="1"/>
      <protection locked="0"/>
    </xf>
    <xf numFmtId="0" fontId="0" fillId="0" borderId="39" xfId="0" applyFill="1" applyBorder="1" applyAlignment="1" applyProtection="1">
      <alignment horizontal="left"/>
      <protection locked="0"/>
    </xf>
    <xf numFmtId="0" fontId="0" fillId="0" borderId="19" xfId="0" applyFill="1" applyBorder="1" applyAlignment="1" applyProtection="1">
      <alignment horizontal="left"/>
      <protection locked="0"/>
    </xf>
    <xf numFmtId="0" fontId="2" fillId="0" borderId="19" xfId="0" applyFont="1" applyFill="1" applyBorder="1" applyAlignment="1" applyProtection="1">
      <protection locked="0"/>
    </xf>
    <xf numFmtId="0" fontId="12" fillId="0" borderId="0" xfId="0" applyFont="1" applyFill="1" applyBorder="1" applyProtection="1"/>
    <xf numFmtId="0" fontId="36" fillId="0" borderId="0" xfId="0" applyFont="1" applyFill="1" applyBorder="1" applyProtection="1"/>
    <xf numFmtId="22" fontId="12" fillId="0" borderId="0" xfId="0" applyNumberFormat="1" applyFont="1" applyFill="1" applyBorder="1" applyAlignment="1" applyProtection="1">
      <alignment horizontal="left"/>
    </xf>
    <xf numFmtId="22" fontId="12" fillId="0" borderId="0" xfId="0" applyNumberFormat="1" applyFont="1" applyFill="1" applyBorder="1" applyProtection="1"/>
    <xf numFmtId="0" fontId="12" fillId="0" borderId="0" xfId="0" applyFont="1" applyFill="1" applyBorder="1" applyAlignment="1" applyProtection="1">
      <alignment horizontal="center"/>
    </xf>
    <xf numFmtId="0" fontId="34" fillId="0" borderId="0" xfId="0" applyFont="1" applyFill="1" applyBorder="1" applyProtection="1"/>
    <xf numFmtId="165" fontId="12" fillId="0" borderId="0" xfId="0" applyNumberFormat="1" applyFont="1" applyFill="1" applyBorder="1" applyProtection="1"/>
    <xf numFmtId="0" fontId="34" fillId="0" borderId="3" xfId="0" applyFont="1" applyFill="1" applyBorder="1" applyAlignment="1" applyProtection="1">
      <alignment horizontal="center" vertical="center"/>
      <protection locked="0"/>
    </xf>
    <xf numFmtId="0" fontId="12" fillId="0" borderId="0" xfId="0" applyFont="1" applyFill="1" applyBorder="1" applyAlignment="1" applyProtection="1">
      <alignment horizontal="left"/>
    </xf>
    <xf numFmtId="4" fontId="12" fillId="0" borderId="0" xfId="0" applyNumberFormat="1" applyFont="1" applyFill="1" applyBorder="1" applyProtection="1"/>
    <xf numFmtId="0" fontId="12" fillId="0" borderId="0" xfId="0" applyFont="1" applyFill="1" applyBorder="1" applyAlignment="1" applyProtection="1">
      <alignment horizontal="right"/>
    </xf>
    <xf numFmtId="12" fontId="12" fillId="0" borderId="0" xfId="0" applyNumberFormat="1" applyFont="1" applyFill="1" applyBorder="1" applyProtection="1"/>
    <xf numFmtId="14" fontId="12" fillId="0" borderId="0" xfId="0" applyNumberFormat="1" applyFont="1" applyFill="1" applyBorder="1" applyProtection="1"/>
    <xf numFmtId="0" fontId="35" fillId="0" borderId="0" xfId="0" applyFont="1" applyFill="1" applyBorder="1" applyAlignment="1" applyProtection="1">
      <alignment horizontal="center"/>
    </xf>
    <xf numFmtId="0" fontId="12" fillId="0" borderId="0" xfId="0" applyFont="1" applyFill="1" applyBorder="1" applyAlignment="1" applyProtection="1"/>
    <xf numFmtId="0" fontId="34" fillId="0" borderId="0" xfId="0" applyFont="1" applyFill="1" applyBorder="1" applyAlignment="1" applyProtection="1">
      <alignment horizontal="left" wrapText="1"/>
    </xf>
    <xf numFmtId="0" fontId="12" fillId="0" borderId="0" xfId="0" applyFont="1" applyFill="1" applyBorder="1" applyAlignment="1" applyProtection="1">
      <alignment horizontal="left" wrapText="1"/>
    </xf>
    <xf numFmtId="22" fontId="12" fillId="0" borderId="0" xfId="0" applyNumberFormat="1" applyFont="1" applyFill="1" applyBorder="1" applyAlignment="1" applyProtection="1">
      <alignment horizontal="left" vertical="center"/>
    </xf>
    <xf numFmtId="12" fontId="12" fillId="0" borderId="0" xfId="0" applyNumberFormat="1" applyFont="1" applyFill="1" applyBorder="1" applyAlignment="1" applyProtection="1">
      <alignment horizontal="center"/>
    </xf>
    <xf numFmtId="0" fontId="34" fillId="0" borderId="0" xfId="0" applyFont="1" applyFill="1" applyBorder="1" applyAlignment="1" applyProtection="1">
      <alignment horizontal="left" vertical="center" wrapText="1"/>
    </xf>
    <xf numFmtId="22"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wrapText="1"/>
    </xf>
    <xf numFmtId="1" fontId="12" fillId="0" borderId="0" xfId="0" applyNumberFormat="1" applyFont="1" applyFill="1" applyBorder="1" applyProtection="1"/>
    <xf numFmtId="0" fontId="12" fillId="0" borderId="0" xfId="0" applyFont="1" applyFill="1" applyProtection="1"/>
    <xf numFmtId="9" fontId="12" fillId="0" borderId="0" xfId="1" applyFont="1" applyFill="1" applyBorder="1" applyProtection="1"/>
    <xf numFmtId="2" fontId="12" fillId="0" borderId="0" xfId="0" applyNumberFormat="1" applyFont="1" applyFill="1" applyBorder="1" applyProtection="1"/>
    <xf numFmtId="9" fontId="12" fillId="0" borderId="0" xfId="0" applyNumberFormat="1" applyFont="1" applyFill="1" applyProtection="1"/>
    <xf numFmtId="9" fontId="12" fillId="0" borderId="0" xfId="0" applyNumberFormat="1" applyFont="1" applyFill="1" applyBorder="1" applyProtection="1"/>
    <xf numFmtId="10" fontId="12" fillId="0" borderId="0" xfId="1" applyNumberFormat="1" applyFont="1" applyFill="1" applyBorder="1" applyProtection="1"/>
    <xf numFmtId="10" fontId="12" fillId="0" borderId="0" xfId="0" applyNumberFormat="1" applyFont="1" applyFill="1" applyBorder="1" applyProtection="1"/>
    <xf numFmtId="22" fontId="12" fillId="0" borderId="0" xfId="0" applyNumberFormat="1" applyFont="1" applyFill="1" applyBorder="1" applyAlignment="1" applyProtection="1">
      <alignment horizontal="right"/>
    </xf>
    <xf numFmtId="0" fontId="12" fillId="0" borderId="0" xfId="0" applyFont="1" applyFill="1" applyAlignment="1" applyProtection="1">
      <alignment horizontal="center"/>
    </xf>
    <xf numFmtId="1" fontId="12" fillId="0" borderId="0" xfId="0" applyNumberFormat="1" applyFont="1" applyFill="1" applyAlignment="1" applyProtection="1">
      <alignment horizontal="left"/>
    </xf>
    <xf numFmtId="170" fontId="12" fillId="0" borderId="0" xfId="1" applyNumberFormat="1" applyFont="1" applyFill="1" applyBorder="1" applyProtection="1"/>
    <xf numFmtId="170" fontId="12" fillId="0" borderId="0" xfId="0" applyNumberFormat="1" applyFont="1" applyFill="1" applyBorder="1" applyProtection="1"/>
    <xf numFmtId="177" fontId="12" fillId="0" borderId="0" xfId="0" applyNumberFormat="1" applyFont="1" applyFill="1" applyProtection="1"/>
    <xf numFmtId="179" fontId="12" fillId="0" borderId="0" xfId="0" applyNumberFormat="1" applyFont="1" applyFill="1" applyProtection="1"/>
    <xf numFmtId="0" fontId="26" fillId="4" borderId="7" xfId="0" applyFont="1" applyFill="1" applyBorder="1" applyAlignment="1" applyProtection="1">
      <alignment horizontal="left"/>
    </xf>
    <xf numFmtId="0" fontId="0" fillId="0" borderId="4" xfId="0" applyBorder="1" applyAlignment="1">
      <alignment horizontal="left" vertical="center"/>
    </xf>
    <xf numFmtId="0" fontId="46" fillId="5" borderId="3" xfId="0" applyFont="1" applyFill="1" applyBorder="1" applyAlignment="1" applyProtection="1">
      <alignment horizontal="left" vertical="center"/>
    </xf>
    <xf numFmtId="0" fontId="19" fillId="0" borderId="0" xfId="2" applyAlignment="1" applyProtection="1"/>
    <xf numFmtId="0" fontId="0" fillId="0" borderId="0" xfId="0" applyAlignment="1"/>
    <xf numFmtId="0" fontId="0" fillId="11" borderId="9" xfId="0" applyFill="1" applyBorder="1" applyAlignment="1" applyProtection="1">
      <protection locked="0"/>
    </xf>
    <xf numFmtId="0" fontId="0" fillId="11" borderId="10" xfId="0" applyFill="1" applyBorder="1" applyAlignment="1" applyProtection="1">
      <protection locked="0"/>
    </xf>
    <xf numFmtId="0" fontId="0" fillId="0" borderId="10" xfId="0" applyBorder="1" applyAlignment="1" applyProtection="1">
      <protection locked="0"/>
    </xf>
    <xf numFmtId="0" fontId="0" fillId="0" borderId="11" xfId="0" applyBorder="1" applyAlignment="1" applyProtection="1">
      <protection locked="0"/>
    </xf>
    <xf numFmtId="0" fontId="41" fillId="11" borderId="9" xfId="0" applyFont="1" applyFill="1" applyBorder="1" applyAlignment="1" applyProtection="1">
      <alignment horizontal="left" vertical="center"/>
      <protection locked="0"/>
    </xf>
    <xf numFmtId="0" fontId="4" fillId="0" borderId="0" xfId="0" applyFont="1" applyAlignment="1" applyProtection="1">
      <alignment horizontal="left" wrapText="1"/>
    </xf>
    <xf numFmtId="0" fontId="1" fillId="0" borderId="0" xfId="0" applyFont="1" applyAlignment="1">
      <alignment horizontal="left" wrapText="1"/>
    </xf>
    <xf numFmtId="0" fontId="0" fillId="0" borderId="0" xfId="0" applyAlignment="1" applyProtection="1">
      <alignment horizontal="left"/>
    </xf>
    <xf numFmtId="0" fontId="9" fillId="4" borderId="1" xfId="0" applyFont="1" applyFill="1" applyBorder="1" applyAlignment="1" applyProtection="1">
      <alignment horizontal="left" wrapText="1"/>
    </xf>
    <xf numFmtId="0" fontId="7" fillId="0" borderId="1" xfId="0" applyFont="1" applyBorder="1" applyAlignment="1">
      <alignment horizontal="left" wrapText="1"/>
    </xf>
    <xf numFmtId="0" fontId="16" fillId="3" borderId="12" xfId="0" applyFont="1" applyFill="1" applyBorder="1" applyAlignment="1" applyProtection="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36" fillId="3" borderId="5" xfId="0" applyFont="1" applyFill="1" applyBorder="1" applyAlignment="1" applyProtection="1">
      <alignment horizontal="left" vertical="top" wrapText="1"/>
    </xf>
    <xf numFmtId="0" fontId="0" fillId="0" borderId="5" xfId="0" applyFont="1" applyBorder="1" applyAlignment="1">
      <alignment horizontal="left" vertical="top" wrapText="1"/>
    </xf>
    <xf numFmtId="0" fontId="12" fillId="10" borderId="6" xfId="0" applyFont="1" applyFill="1" applyBorder="1" applyAlignment="1">
      <alignment horizontal="left" vertical="center" wrapText="1"/>
    </xf>
    <xf numFmtId="0" fontId="12" fillId="0" borderId="0"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14" fontId="2" fillId="7" borderId="7" xfId="0" applyNumberFormat="1" applyFont="1" applyFill="1" applyBorder="1" applyAlignment="1" applyProtection="1">
      <alignment horizontal="left" vertical="center" wrapText="1"/>
      <protection locked="0"/>
    </xf>
    <xf numFmtId="0" fontId="0" fillId="0" borderId="7" xfId="0" applyBorder="1" applyAlignment="1">
      <alignment horizontal="left"/>
    </xf>
    <xf numFmtId="0" fontId="0" fillId="0" borderId="2" xfId="0" applyBorder="1" applyAlignment="1">
      <alignment horizontal="left"/>
    </xf>
    <xf numFmtId="0" fontId="0" fillId="0" borderId="49" xfId="0" applyFont="1" applyBorder="1" applyAlignment="1" applyProtection="1"/>
    <xf numFmtId="0" fontId="0" fillId="0" borderId="50" xfId="0" applyFont="1" applyBorder="1" applyAlignment="1"/>
    <xf numFmtId="0" fontId="0" fillId="0" borderId="51" xfId="0" applyFont="1" applyBorder="1" applyAlignment="1" applyProtection="1"/>
    <xf numFmtId="0" fontId="0" fillId="0" borderId="52" xfId="0" applyFont="1" applyBorder="1" applyAlignment="1"/>
    <xf numFmtId="0" fontId="0" fillId="0" borderId="51" xfId="0" applyFont="1" applyBorder="1" applyAlignment="1" applyProtection="1">
      <alignment horizontal="left"/>
    </xf>
    <xf numFmtId="0" fontId="0" fillId="0" borderId="52" xfId="0" applyFont="1" applyBorder="1" applyAlignment="1">
      <alignment horizontal="left"/>
    </xf>
    <xf numFmtId="0" fontId="8" fillId="0" borderId="53" xfId="0" applyFont="1" applyFill="1" applyBorder="1" applyAlignment="1" applyProtection="1"/>
    <xf numFmtId="0" fontId="0" fillId="0" borderId="54" xfId="0" applyFont="1" applyBorder="1" applyAlignment="1"/>
    <xf numFmtId="0" fontId="7" fillId="0" borderId="12" xfId="0" applyFont="1" applyBorder="1" applyAlignment="1" applyProtection="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0" fillId="0" borderId="15" xfId="0" applyBorder="1" applyAlignment="1">
      <alignment vertical="top" wrapText="1"/>
    </xf>
    <xf numFmtId="0" fontId="0" fillId="0" borderId="2" xfId="0" applyBorder="1" applyAlignment="1"/>
    <xf numFmtId="0" fontId="9" fillId="0" borderId="12" xfId="0" applyFont="1" applyFill="1" applyBorder="1" applyAlignment="1" applyProtection="1">
      <alignment horizontal="left" vertical="top" wrapText="1"/>
    </xf>
    <xf numFmtId="0" fontId="0" fillId="0" borderId="14" xfId="0" applyBorder="1" applyAlignment="1"/>
    <xf numFmtId="0" fontId="0" fillId="0" borderId="0" xfId="0" applyAlignment="1" applyProtection="1">
      <alignment wrapText="1"/>
    </xf>
    <xf numFmtId="0" fontId="0" fillId="0" borderId="0" xfId="0" applyAlignment="1">
      <alignment wrapText="1"/>
    </xf>
    <xf numFmtId="0" fontId="1" fillId="0" borderId="0" xfId="0" applyFont="1" applyAlignment="1" applyProtection="1">
      <alignment horizontal="left" vertical="top" textRotation="90"/>
    </xf>
    <xf numFmtId="0" fontId="1" fillId="0" borderId="0" xfId="0" applyFont="1" applyAlignment="1"/>
    <xf numFmtId="0" fontId="9" fillId="0" borderId="63" xfId="0" applyFont="1" applyFill="1" applyBorder="1" applyAlignment="1" applyProtection="1">
      <alignment horizontal="center" vertical="center" wrapText="1"/>
    </xf>
    <xf numFmtId="0" fontId="0" fillId="0" borderId="41" xfId="0" applyBorder="1" applyAlignment="1">
      <alignment vertical="center" wrapText="1"/>
    </xf>
    <xf numFmtId="0" fontId="9" fillId="0" borderId="64" xfId="0" applyFont="1" applyFill="1" applyBorder="1" applyAlignment="1" applyProtection="1">
      <alignment horizontal="center" vertical="center" wrapText="1"/>
    </xf>
    <xf numFmtId="0" fontId="0" fillId="0" borderId="65" xfId="0" applyBorder="1" applyAlignment="1">
      <alignment vertical="center" wrapText="1"/>
    </xf>
    <xf numFmtId="0" fontId="4" fillId="0" borderId="0" xfId="0" applyFont="1" applyAlignment="1" applyProtection="1">
      <alignment wrapText="1"/>
    </xf>
    <xf numFmtId="0" fontId="1" fillId="0" borderId="0" xfId="0" applyFont="1" applyAlignment="1">
      <alignment wrapText="1"/>
    </xf>
    <xf numFmtId="0" fontId="0" fillId="3" borderId="6" xfId="0" applyFill="1" applyBorder="1" applyAlignment="1">
      <alignment vertical="top"/>
    </xf>
    <xf numFmtId="0" fontId="0" fillId="3" borderId="0" xfId="0" applyFill="1" applyBorder="1" applyAlignment="1">
      <alignment vertical="top"/>
    </xf>
    <xf numFmtId="0" fontId="0" fillId="3" borderId="7" xfId="0" applyFill="1" applyBorder="1" applyAlignment="1">
      <alignment vertical="top"/>
    </xf>
    <xf numFmtId="0" fontId="0" fillId="3" borderId="15" xfId="0" applyFill="1" applyBorder="1" applyAlignment="1">
      <alignment vertical="top"/>
    </xf>
    <xf numFmtId="0" fontId="0" fillId="3" borderId="1" xfId="0" applyFill="1" applyBorder="1" applyAlignment="1">
      <alignment vertical="top"/>
    </xf>
    <xf numFmtId="0" fontId="0" fillId="3" borderId="2" xfId="0" applyFill="1" applyBorder="1" applyAlignment="1">
      <alignment vertical="top"/>
    </xf>
    <xf numFmtId="0" fontId="5" fillId="3" borderId="6" xfId="0" applyFont="1" applyFill="1" applyBorder="1" applyAlignment="1" applyProtection="1">
      <alignment vertical="top" wrapText="1"/>
    </xf>
    <xf numFmtId="0" fontId="0" fillId="0" borderId="6" xfId="0" applyBorder="1" applyAlignment="1">
      <alignment vertical="top"/>
    </xf>
    <xf numFmtId="0" fontId="0" fillId="0" borderId="15" xfId="0" applyBorder="1" applyAlignment="1">
      <alignment vertical="top"/>
    </xf>
    <xf numFmtId="0" fontId="5" fillId="3" borderId="5" xfId="0" applyFont="1" applyFill="1" applyBorder="1" applyAlignment="1" applyProtection="1">
      <alignment vertical="top" wrapText="1"/>
    </xf>
    <xf numFmtId="0" fontId="0" fillId="0" borderId="5" xfId="0" applyBorder="1" applyAlignment="1">
      <alignment vertical="top"/>
    </xf>
    <xf numFmtId="0" fontId="0" fillId="0" borderId="4" xfId="0" applyBorder="1" applyAlignment="1">
      <alignment vertical="top"/>
    </xf>
    <xf numFmtId="0" fontId="9" fillId="4" borderId="1" xfId="0" applyFont="1" applyFill="1" applyBorder="1" applyAlignment="1" applyProtection="1">
      <alignment wrapText="1"/>
    </xf>
    <xf numFmtId="0" fontId="7" fillId="4" borderId="1" xfId="0" applyFont="1" applyFill="1" applyBorder="1" applyAlignment="1" applyProtection="1">
      <alignment wrapText="1"/>
    </xf>
    <xf numFmtId="0" fontId="7" fillId="4" borderId="0" xfId="0" applyFont="1" applyFill="1" applyBorder="1" applyAlignment="1" applyProtection="1">
      <alignment wrapText="1"/>
    </xf>
    <xf numFmtId="0" fontId="5" fillId="3" borderId="14" xfId="0" applyFont="1" applyFill="1" applyBorder="1" applyAlignment="1" applyProtection="1">
      <alignment vertical="top" wrapText="1"/>
    </xf>
    <xf numFmtId="0" fontId="0" fillId="0" borderId="7" xfId="0" applyBorder="1" applyAlignment="1" applyProtection="1">
      <alignment vertical="top" wrapText="1"/>
    </xf>
    <xf numFmtId="0" fontId="0" fillId="0" borderId="7" xfId="0" applyBorder="1" applyAlignment="1">
      <alignment vertical="top"/>
    </xf>
    <xf numFmtId="0" fontId="0" fillId="0" borderId="2" xfId="0" applyBorder="1" applyAlignment="1">
      <alignment vertical="top"/>
    </xf>
    <xf numFmtId="0" fontId="1" fillId="2" borderId="12" xfId="0" applyFont="1" applyFill="1" applyBorder="1" applyAlignment="1" applyProtection="1">
      <alignment vertical="top" wrapText="1"/>
    </xf>
    <xf numFmtId="0" fontId="1" fillId="0" borderId="14" xfId="0" applyFont="1" applyBorder="1" applyAlignment="1" applyProtection="1">
      <alignment vertical="top" wrapText="1"/>
    </xf>
    <xf numFmtId="0" fontId="1" fillId="0" borderId="15" xfId="0" applyFont="1" applyBorder="1" applyAlignment="1" applyProtection="1">
      <alignment vertical="top" wrapText="1"/>
    </xf>
    <xf numFmtId="0" fontId="1" fillId="0" borderId="2" xfId="0" applyFont="1" applyBorder="1" applyAlignment="1" applyProtection="1">
      <alignment vertical="top" wrapText="1"/>
    </xf>
    <xf numFmtId="0" fontId="1" fillId="2" borderId="12" xfId="0" applyFont="1" applyFill="1" applyBorder="1" applyAlignment="1" applyProtection="1">
      <alignment vertical="center" wrapText="1"/>
    </xf>
    <xf numFmtId="0" fontId="0" fillId="0" borderId="13" xfId="0" applyBorder="1" applyAlignment="1"/>
    <xf numFmtId="0" fontId="1" fillId="2" borderId="15" xfId="0" applyFont="1" applyFill="1" applyBorder="1" applyAlignment="1" applyProtection="1">
      <alignment vertical="center"/>
    </xf>
    <xf numFmtId="0" fontId="0" fillId="0" borderId="1" xfId="0" applyBorder="1" applyAlignment="1"/>
    <xf numFmtId="176" fontId="0" fillId="4" borderId="12" xfId="0" applyNumberFormat="1" applyFont="1" applyFill="1" applyBorder="1" applyAlignment="1" applyProtection="1">
      <alignment horizontal="left" vertical="center"/>
    </xf>
    <xf numFmtId="176" fontId="0" fillId="4" borderId="30" xfId="0" applyNumberFormat="1" applyFont="1" applyFill="1" applyBorder="1" applyAlignment="1" applyProtection="1">
      <alignment horizontal="left" vertical="center"/>
    </xf>
    <xf numFmtId="176" fontId="0" fillId="4" borderId="13" xfId="0" applyNumberFormat="1" applyFont="1" applyFill="1" applyBorder="1" applyAlignment="1" applyProtection="1">
      <alignment horizontal="left" vertical="center"/>
    </xf>
    <xf numFmtId="176" fontId="0" fillId="4" borderId="14" xfId="0" applyNumberFormat="1" applyFont="1" applyFill="1" applyBorder="1" applyAlignment="1" applyProtection="1">
      <alignment horizontal="left" vertical="center"/>
    </xf>
    <xf numFmtId="176" fontId="0" fillId="4" borderId="42" xfId="0" applyNumberFormat="1" applyFont="1" applyFill="1" applyBorder="1" applyAlignment="1" applyProtection="1">
      <alignment horizontal="left" vertical="center"/>
    </xf>
    <xf numFmtId="0" fontId="0" fillId="2" borderId="23" xfId="0" applyFill="1" applyBorder="1" applyAlignment="1" applyProtection="1">
      <alignment horizontal="left"/>
    </xf>
    <xf numFmtId="0" fontId="0" fillId="0" borderId="23" xfId="0" applyBorder="1" applyAlignment="1">
      <alignment horizontal="left"/>
    </xf>
    <xf numFmtId="4" fontId="0" fillId="0" borderId="6" xfId="0" applyNumberFormat="1" applyFont="1" applyBorder="1" applyAlignment="1" applyProtection="1">
      <alignment horizontal="left" vertical="center"/>
    </xf>
    <xf numFmtId="4" fontId="0" fillId="0" borderId="32" xfId="0" applyNumberFormat="1" applyFont="1" applyBorder="1" applyAlignment="1" applyProtection="1">
      <alignment horizontal="left" vertical="center"/>
    </xf>
    <xf numFmtId="4" fontId="0" fillId="0" borderId="0" xfId="0" applyNumberFormat="1" applyFont="1" applyBorder="1" applyAlignment="1" applyProtection="1">
      <alignment horizontal="left" vertical="center"/>
    </xf>
    <xf numFmtId="4" fontId="0" fillId="0" borderId="7" xfId="0" applyNumberFormat="1" applyFont="1" applyBorder="1" applyAlignment="1" applyProtection="1">
      <alignment horizontal="left" vertical="center"/>
    </xf>
    <xf numFmtId="4" fontId="0" fillId="0" borderId="43" xfId="0" applyNumberFormat="1" applyFont="1" applyBorder="1" applyAlignment="1" applyProtection="1">
      <alignment horizontal="left" vertical="center"/>
    </xf>
    <xf numFmtId="0" fontId="0" fillId="0" borderId="7" xfId="0" applyBorder="1" applyAlignment="1"/>
    <xf numFmtId="4" fontId="0" fillId="0" borderId="44" xfId="0" applyNumberFormat="1" applyFont="1" applyBorder="1" applyAlignment="1" applyProtection="1">
      <alignment horizontal="left" vertical="center"/>
    </xf>
    <xf numFmtId="14" fontId="0" fillId="7" borderId="9" xfId="0" applyNumberFormat="1" applyFont="1" applyFill="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2" fillId="0" borderId="6" xfId="0" applyFont="1" applyBorder="1" applyAlignment="1" applyProtection="1">
      <alignment horizontal="left" vertical="top"/>
    </xf>
    <xf numFmtId="0" fontId="2" fillId="0" borderId="0" xfId="0" applyFont="1" applyBorder="1" applyAlignment="1">
      <alignment horizontal="left" vertical="top"/>
    </xf>
    <xf numFmtId="171" fontId="2" fillId="0" borderId="13" xfId="3" applyNumberFormat="1" applyFont="1" applyBorder="1" applyAlignment="1" applyProtection="1">
      <alignment horizontal="left" vertical="top"/>
    </xf>
    <xf numFmtId="171" fontId="2" fillId="0" borderId="14" xfId="0" applyNumberFormat="1" applyFont="1" applyBorder="1" applyAlignment="1">
      <alignment horizontal="left" vertical="top"/>
    </xf>
    <xf numFmtId="0" fontId="9" fillId="0" borderId="0" xfId="0" applyFont="1" applyBorder="1" applyAlignment="1" applyProtection="1">
      <alignment vertical="center" wrapText="1"/>
    </xf>
    <xf numFmtId="0" fontId="7" fillId="0" borderId="0" xfId="0" applyFont="1" applyBorder="1" applyAlignment="1">
      <alignment vertical="center"/>
    </xf>
    <xf numFmtId="0" fontId="1" fillId="2" borderId="3" xfId="0" applyFont="1" applyFill="1" applyBorder="1" applyAlignment="1" applyProtection="1">
      <alignment horizontal="left" vertical="center" wrapText="1"/>
    </xf>
    <xf numFmtId="0" fontId="0" fillId="0" borderId="4" xfId="0" applyBorder="1" applyAlignment="1">
      <alignment wrapText="1"/>
    </xf>
    <xf numFmtId="4" fontId="0" fillId="0" borderId="12" xfId="0" applyNumberFormat="1" applyFont="1" applyBorder="1" applyAlignment="1" applyProtection="1">
      <alignment horizontal="left" vertical="center" wrapText="1"/>
    </xf>
    <xf numFmtId="4" fontId="0" fillId="0" borderId="30" xfId="0" applyNumberFormat="1" applyFont="1" applyBorder="1" applyAlignment="1" applyProtection="1">
      <alignment horizontal="left" vertical="center" wrapText="1"/>
    </xf>
    <xf numFmtId="4" fontId="0" fillId="0" borderId="15" xfId="0" applyNumberFormat="1" applyBorder="1" applyAlignment="1">
      <alignment wrapText="1"/>
    </xf>
    <xf numFmtId="4" fontId="0" fillId="0" borderId="31" xfId="0" applyNumberFormat="1" applyBorder="1" applyAlignment="1">
      <alignment wrapText="1"/>
    </xf>
    <xf numFmtId="4" fontId="0" fillId="0" borderId="13" xfId="0" applyNumberFormat="1" applyFont="1" applyBorder="1" applyAlignment="1" applyProtection="1">
      <alignment horizontal="left" vertical="center" wrapText="1"/>
    </xf>
    <xf numFmtId="4" fontId="0" fillId="0" borderId="14" xfId="0" applyNumberFormat="1" applyFont="1" applyBorder="1" applyAlignment="1" applyProtection="1">
      <alignment horizontal="left" vertical="center" wrapText="1"/>
    </xf>
    <xf numFmtId="4" fontId="0" fillId="0" borderId="1" xfId="0" applyNumberFormat="1" applyBorder="1" applyAlignment="1">
      <alignment wrapText="1"/>
    </xf>
    <xf numFmtId="4" fontId="0" fillId="0" borderId="2" xfId="0" applyNumberFormat="1" applyBorder="1" applyAlignment="1">
      <alignment wrapText="1"/>
    </xf>
    <xf numFmtId="4" fontId="0" fillId="0" borderId="42" xfId="0" applyNumberFormat="1" applyFont="1" applyBorder="1" applyAlignment="1" applyProtection="1">
      <alignment horizontal="left" vertical="center" wrapText="1"/>
    </xf>
    <xf numFmtId="0" fontId="0" fillId="0" borderId="44" xfId="0" applyBorder="1" applyAlignment="1"/>
    <xf numFmtId="0" fontId="20" fillId="4" borderId="0" xfId="0" applyFont="1" applyFill="1" applyBorder="1" applyAlignment="1">
      <alignment vertical="top" wrapText="1"/>
    </xf>
    <xf numFmtId="0" fontId="0" fillId="4" borderId="0" xfId="0" applyFont="1" applyFill="1" applyBorder="1" applyAlignment="1">
      <alignment vertical="top" wrapText="1"/>
    </xf>
    <xf numFmtId="0" fontId="44" fillId="12" borderId="62" xfId="4" applyFont="1" applyFill="1" applyBorder="1" applyAlignment="1">
      <alignment horizontal="center" vertical="center" wrapText="1"/>
    </xf>
    <xf numFmtId="0" fontId="0" fillId="0" borderId="39" xfId="0" applyBorder="1" applyAlignment="1">
      <alignment horizontal="center" vertical="center" wrapText="1"/>
    </xf>
    <xf numFmtId="0" fontId="31" fillId="0" borderId="0" xfId="4" applyFill="1" applyBorder="1" applyAlignment="1">
      <alignment horizontal="left" wrapText="1" indent="1"/>
    </xf>
    <xf numFmtId="0" fontId="44" fillId="12" borderId="39" xfId="4" applyFont="1" applyFill="1" applyBorder="1" applyAlignment="1">
      <alignment horizontal="center" vertical="center" wrapText="1"/>
    </xf>
    <xf numFmtId="14" fontId="9" fillId="4" borderId="0" xfId="0" applyNumberFormat="1" applyFont="1" applyFill="1" applyBorder="1" applyAlignment="1" applyProtection="1">
      <alignment horizontal="center"/>
    </xf>
    <xf numFmtId="14" fontId="7" fillId="4" borderId="0" xfId="0" applyNumberFormat="1" applyFont="1" applyFill="1" applyBorder="1" applyAlignment="1" applyProtection="1"/>
    <xf numFmtId="0" fontId="1" fillId="2" borderId="5" xfId="0" applyNumberFormat="1" applyFont="1" applyFill="1" applyBorder="1" applyAlignment="1" applyProtection="1">
      <alignment horizontal="center" vertical="top" wrapText="1"/>
    </xf>
    <xf numFmtId="0" fontId="1" fillId="2" borderId="4" xfId="0" applyFont="1" applyFill="1" applyBorder="1" applyAlignment="1">
      <alignment horizontal="center" vertical="top"/>
    </xf>
    <xf numFmtId="0" fontId="1" fillId="4" borderId="5" xfId="0" applyNumberFormat="1" applyFont="1" applyFill="1" applyBorder="1" applyAlignment="1" applyProtection="1">
      <alignment horizontal="center" vertical="center" wrapText="1"/>
    </xf>
    <xf numFmtId="0" fontId="0" fillId="4" borderId="4" xfId="0" applyFill="1" applyBorder="1" applyAlignment="1"/>
    <xf numFmtId="0" fontId="1" fillId="2" borderId="3" xfId="0" applyNumberFormat="1" applyFont="1" applyFill="1" applyBorder="1" applyAlignment="1" applyProtection="1">
      <alignment horizontal="center" vertical="top" wrapText="1"/>
    </xf>
    <xf numFmtId="0" fontId="1" fillId="2" borderId="5" xfId="0" applyFont="1" applyFill="1" applyBorder="1" applyAlignment="1">
      <alignment horizontal="center" vertical="top"/>
    </xf>
    <xf numFmtId="0" fontId="0" fillId="0" borderId="5" xfId="0" applyBorder="1" applyAlignment="1"/>
    <xf numFmtId="0" fontId="0" fillId="0" borderId="4" xfId="0" applyBorder="1" applyAlignment="1"/>
    <xf numFmtId="0" fontId="0" fillId="0" borderId="5" xfId="0" applyBorder="1" applyAlignment="1">
      <alignment horizontal="center" vertical="top" wrapText="1"/>
    </xf>
    <xf numFmtId="0" fontId="1" fillId="4" borderId="6" xfId="0" applyFont="1" applyFill="1" applyBorder="1" applyAlignment="1" applyProtection="1">
      <alignment horizontal="center" vertical="top"/>
    </xf>
    <xf numFmtId="0" fontId="1" fillId="4" borderId="0" xfId="0" applyFont="1" applyFill="1" applyBorder="1" applyAlignment="1" applyProtection="1">
      <alignment horizontal="center" vertical="top"/>
    </xf>
    <xf numFmtId="0" fontId="0" fillId="4" borderId="4" xfId="0" applyFill="1" applyBorder="1" applyAlignment="1">
      <alignment vertical="center" wrapText="1"/>
    </xf>
    <xf numFmtId="0" fontId="0" fillId="4" borderId="4" xfId="0" applyFill="1" applyBorder="1" applyAlignment="1">
      <alignment horizontal="center" vertical="center" wrapText="1"/>
    </xf>
    <xf numFmtId="0" fontId="0" fillId="0" borderId="0" xfId="0"/>
    <xf numFmtId="0" fontId="0" fillId="0" borderId="0" xfId="0" applyFill="1" applyProtection="1">
      <protection locked="0"/>
    </xf>
    <xf numFmtId="0" fontId="0" fillId="0" borderId="0" xfId="0" applyFill="1" applyAlignment="1" applyProtection="1">
      <alignment wrapText="1"/>
      <protection locked="0"/>
    </xf>
  </cellXfs>
  <cellStyles count="6">
    <cellStyle name="Hipervínculo" xfId="2" builtinId="8"/>
    <cellStyle name="Millares" xfId="3" builtinId="3"/>
    <cellStyle name="Normal" xfId="0" builtinId="0"/>
    <cellStyle name="Porcentaje" xfId="1" builtinId="5"/>
    <cellStyle name="Standard 2" xfId="4" xr:uid="{00000000-0005-0000-0000-000004000000}"/>
    <cellStyle name="Überschrift 5" xfId="5" xr:uid="{00000000-0005-0000-0000-000005000000}"/>
  </cellStyles>
  <dxfs count="10">
    <dxf>
      <font>
        <color theme="0"/>
      </font>
    </dxf>
    <dxf>
      <font>
        <color theme="0"/>
      </font>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Light16"/>
  <colors>
    <mruColors>
      <color rgb="FF33CC33"/>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8191721990454E-2"/>
          <c:y val="8.2086117613676665E-2"/>
          <c:w val="0.9415590035214374"/>
          <c:h val="0.82208753635525289"/>
        </c:manualLayout>
      </c:layout>
      <c:scatterChart>
        <c:scatterStyle val="lineMarker"/>
        <c:varyColors val="0"/>
        <c:ser>
          <c:idx val="0"/>
          <c:order val="0"/>
          <c:tx>
            <c:strRef>
              <c:f>Baseline!$H$18</c:f>
              <c:strCache>
                <c:ptCount val="1"/>
                <c:pt idx="0">
                  <c:v>MWh</c:v>
                </c:pt>
              </c:strCache>
            </c:strRef>
          </c:tx>
          <c:spPr>
            <a:ln w="28575">
              <a:noFill/>
            </a:ln>
          </c:spPr>
          <c:marker>
            <c:symbol val="circle"/>
            <c:size val="2"/>
            <c:spPr>
              <a:ln w="69850"/>
            </c:spPr>
          </c:marker>
          <c:xVal>
            <c:numRef>
              <c:f>[0]!ymod</c:f>
              <c:numCache>
                <c:formatCode>General</c:formatCode>
                <c:ptCount val="12"/>
                <c:pt idx="0">
                  <c:v>7458.6160714808584</c:v>
                </c:pt>
                <c:pt idx="1">
                  <c:v>7638.6886236436803</c:v>
                </c:pt>
                <c:pt idx="2">
                  <c:v>7225.3675152323649</c:v>
                </c:pt>
                <c:pt idx="3">
                  <c:v>5462.445746626443</c:v>
                </c:pt>
                <c:pt idx="4">
                  <c:v>6550.9058489814061</c:v>
                </c:pt>
                <c:pt idx="5">
                  <c:v>7402.0281168936126</c:v>
                </c:pt>
                <c:pt idx="6">
                  <c:v>7083.4535700766774</c:v>
                </c:pt>
                <c:pt idx="7">
                  <c:v>8485.3409620130151</c:v>
                </c:pt>
                <c:pt idx="8">
                  <c:v>7023.0791399848786</c:v>
                </c:pt>
                <c:pt idx="9">
                  <c:v>7572.7817675994193</c:v>
                </c:pt>
                <c:pt idx="10">
                  <c:v>8653.9924295854817</c:v>
                </c:pt>
                <c:pt idx="11">
                  <c:v>10881.100207882162</c:v>
                </c:pt>
              </c:numCache>
            </c:numRef>
          </c:xVal>
          <c:yVal>
            <c:numRef>
              <c:f>[0]!y</c:f>
              <c:numCache>
                <c:formatCode>General</c:formatCode>
                <c:ptCount val="12"/>
                <c:pt idx="0">
                  <c:v>7484.3</c:v>
                </c:pt>
                <c:pt idx="1">
                  <c:v>7249.3</c:v>
                </c:pt>
                <c:pt idx="2">
                  <c:v>7163.5</c:v>
                </c:pt>
                <c:pt idx="3">
                  <c:v>5794.5</c:v>
                </c:pt>
                <c:pt idx="4">
                  <c:v>6373.4</c:v>
                </c:pt>
                <c:pt idx="5">
                  <c:v>7445.2</c:v>
                </c:pt>
                <c:pt idx="6">
                  <c:v>7123.3</c:v>
                </c:pt>
                <c:pt idx="7">
                  <c:v>8465</c:v>
                </c:pt>
                <c:pt idx="8">
                  <c:v>7176.6</c:v>
                </c:pt>
                <c:pt idx="9">
                  <c:v>7174.9</c:v>
                </c:pt>
                <c:pt idx="10">
                  <c:v>9031.7999999999993</c:v>
                </c:pt>
                <c:pt idx="11">
                  <c:v>10956</c:v>
                </c:pt>
              </c:numCache>
            </c:numRef>
          </c:yVal>
          <c:smooth val="0"/>
          <c:extLst>
            <c:ext xmlns:c16="http://schemas.microsoft.com/office/drawing/2014/chart" uri="{C3380CC4-5D6E-409C-BE32-E72D297353CC}">
              <c16:uniqueId val="{00000000-AA4C-442F-BB7B-4C35C8E69037}"/>
            </c:ext>
          </c:extLst>
        </c:ser>
        <c:dLbls>
          <c:showLegendKey val="0"/>
          <c:showVal val="0"/>
          <c:showCatName val="0"/>
          <c:showSerName val="0"/>
          <c:showPercent val="0"/>
          <c:showBubbleSize val="0"/>
        </c:dLbls>
        <c:axId val="48311680"/>
        <c:axId val="48350336"/>
      </c:scatterChart>
      <c:valAx>
        <c:axId val="48311680"/>
        <c:scaling>
          <c:orientation val="minMax"/>
        </c:scaling>
        <c:delete val="0"/>
        <c:axPos val="b"/>
        <c:numFmt formatCode="General" sourceLinked="1"/>
        <c:majorTickMark val="out"/>
        <c:minorTickMark val="none"/>
        <c:tickLblPos val="nextTo"/>
        <c:crossAx val="48350336"/>
        <c:crosses val="autoZero"/>
        <c:crossBetween val="midCat"/>
      </c:valAx>
      <c:valAx>
        <c:axId val="48350336"/>
        <c:scaling>
          <c:orientation val="minMax"/>
        </c:scaling>
        <c:delete val="0"/>
        <c:axPos val="l"/>
        <c:majorGridlines/>
        <c:numFmt formatCode="General" sourceLinked="1"/>
        <c:majorTickMark val="out"/>
        <c:minorTickMark val="none"/>
        <c:tickLblPos val="nextTo"/>
        <c:crossAx val="48311680"/>
        <c:crosses val="autoZero"/>
        <c:crossBetween val="midCat"/>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262699837782167E-2"/>
          <c:y val="1.3427672453722193E-2"/>
          <c:w val="0.94388039153468306"/>
          <c:h val="0.63029040738140318"/>
        </c:manualLayout>
      </c:layout>
      <c:lineChart>
        <c:grouping val="standard"/>
        <c:varyColors val="0"/>
        <c:ser>
          <c:idx val="1"/>
          <c:order val="0"/>
          <c:tx>
            <c:strRef>
              <c:f>'!'!$GK$14</c:f>
              <c:strCache>
                <c:ptCount val="1"/>
                <c:pt idx="0">
                  <c:v>y (Modell) [MWh/Month]</c:v>
                </c:pt>
              </c:strCache>
            </c:strRef>
          </c:tx>
          <c:spPr>
            <a:ln w="19050"/>
          </c:spPr>
          <c:marker>
            <c:symbol val="none"/>
          </c:marker>
          <c:cat>
            <c:numRef>
              <c:f>[0]!Dia.y.x</c:f>
              <c:numCache>
                <c:formatCode>m/d/yyyy</c:formatCode>
                <c:ptCount val="1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numCache>
            </c:numRef>
          </c:cat>
          <c:val>
            <c:numRef>
              <c:f>[0]!Dia.y.Mo.y</c:f>
              <c:numCache>
                <c:formatCode>0.00</c:formatCode>
                <c:ptCount val="12"/>
                <c:pt idx="0">
                  <c:v>8836.3020335016499</c:v>
                </c:pt>
                <c:pt idx="1">
                  <c:v>11095.207857221514</c:v>
                </c:pt>
                <c:pt idx="2">
                  <c:v>10374.677112928213</c:v>
                </c:pt>
                <c:pt idx="3">
                  <c:v>8211.580087254717</c:v>
                </c:pt>
                <c:pt idx="4">
                  <c:v>8129.6456089637741</c:v>
                </c:pt>
                <c:pt idx="5">
                  <c:v>9196.0505714190294</c:v>
                </c:pt>
                <c:pt idx="6">
                  <c:v>6581.1272828095607</c:v>
                </c:pt>
                <c:pt idx="7">
                  <c:v>7014.2425493021728</c:v>
                </c:pt>
                <c:pt idx="8">
                  <c:v>10108.797761768597</c:v>
                </c:pt>
                <c:pt idx="9">
                  <c:v>8245.0933990939011</c:v>
                </c:pt>
                <c:pt idx="10">
                  <c:v>10819.544600632111</c:v>
                </c:pt>
                <c:pt idx="11">
                  <c:v>11811.058089194506</c:v>
                </c:pt>
              </c:numCache>
            </c:numRef>
          </c:val>
          <c:smooth val="0"/>
          <c:extLst>
            <c:ext xmlns:c16="http://schemas.microsoft.com/office/drawing/2014/chart" uri="{C3380CC4-5D6E-409C-BE32-E72D297353CC}">
              <c16:uniqueId val="{00000000-FBDF-4B6F-A657-F372A2944DC9}"/>
            </c:ext>
          </c:extLst>
        </c:ser>
        <c:ser>
          <c:idx val="0"/>
          <c:order val="1"/>
          <c:tx>
            <c:strRef>
              <c:f>'!'!$GK$15</c:f>
              <c:strCache>
                <c:ptCount val="1"/>
                <c:pt idx="0">
                  <c:v>y (Measurement) [MWh/Month]</c:v>
                </c:pt>
              </c:strCache>
            </c:strRef>
          </c:tx>
          <c:spPr>
            <a:ln w="19050"/>
          </c:spPr>
          <c:marker>
            <c:symbol val="none"/>
          </c:marker>
          <c:val>
            <c:numRef>
              <c:f>[0]!Dia.y.Me.y</c:f>
              <c:numCache>
                <c:formatCode>#,##0.00</c:formatCode>
                <c:ptCount val="12"/>
                <c:pt idx="0">
                  <c:v>8643</c:v>
                </c:pt>
                <c:pt idx="1">
                  <c:v>11020</c:v>
                </c:pt>
                <c:pt idx="2">
                  <c:v>10308</c:v>
                </c:pt>
                <c:pt idx="3">
                  <c:v>8006</c:v>
                </c:pt>
                <c:pt idx="4">
                  <c:v>7964</c:v>
                </c:pt>
                <c:pt idx="5">
                  <c:v>8786</c:v>
                </c:pt>
                <c:pt idx="6">
                  <c:v>6300</c:v>
                </c:pt>
                <c:pt idx="7">
                  <c:v>6743</c:v>
                </c:pt>
                <c:pt idx="8">
                  <c:v>9660</c:v>
                </c:pt>
                <c:pt idx="9">
                  <c:v>7664</c:v>
                </c:pt>
                <c:pt idx="10">
                  <c:v>9217</c:v>
                </c:pt>
                <c:pt idx="11">
                  <c:v>10168</c:v>
                </c:pt>
              </c:numCache>
            </c:numRef>
          </c:val>
          <c:smooth val="0"/>
          <c:extLst>
            <c:ext xmlns:c16="http://schemas.microsoft.com/office/drawing/2014/chart" uri="{C3380CC4-5D6E-409C-BE32-E72D297353CC}">
              <c16:uniqueId val="{00000001-FBDF-4B6F-A657-F372A2944DC9}"/>
            </c:ext>
          </c:extLst>
        </c:ser>
        <c:ser>
          <c:idx val="2"/>
          <c:order val="2"/>
          <c:tx>
            <c:strRef>
              <c:f>'!'!$GK$24</c:f>
              <c:strCache>
                <c:ptCount val="1"/>
                <c:pt idx="0">
                  <c:v>Difference</c:v>
                </c:pt>
              </c:strCache>
            </c:strRef>
          </c:tx>
          <c:spPr>
            <a:ln w="12700">
              <a:solidFill>
                <a:srgbClr val="00B050"/>
              </a:solidFill>
            </a:ln>
          </c:spPr>
          <c:marker>
            <c:symbol val="none"/>
          </c:marker>
          <c:val>
            <c:numRef>
              <c:f>[0]!Dia.y.MoMeAbw.y</c:f>
              <c:numCache>
                <c:formatCode>#,##0.00</c:formatCode>
                <c:ptCount val="12"/>
                <c:pt idx="0">
                  <c:v>193.30203350164993</c:v>
                </c:pt>
                <c:pt idx="1">
                  <c:v>75.207857221514132</c:v>
                </c:pt>
                <c:pt idx="2">
                  <c:v>66.677112928213319</c:v>
                </c:pt>
                <c:pt idx="3">
                  <c:v>205.580087254717</c:v>
                </c:pt>
                <c:pt idx="4">
                  <c:v>165.64560896377407</c:v>
                </c:pt>
                <c:pt idx="5">
                  <c:v>410.05057141902944</c:v>
                </c:pt>
                <c:pt idx="6">
                  <c:v>281.12728280956071</c:v>
                </c:pt>
                <c:pt idx="7">
                  <c:v>271.24254930217285</c:v>
                </c:pt>
                <c:pt idx="8">
                  <c:v>448.79776176859741</c:v>
                </c:pt>
                <c:pt idx="9">
                  <c:v>581.0933990939011</c:v>
                </c:pt>
                <c:pt idx="10">
                  <c:v>1602.5446006321108</c:v>
                </c:pt>
                <c:pt idx="11">
                  <c:v>1643.0580891945065</c:v>
                </c:pt>
              </c:numCache>
            </c:numRef>
          </c:val>
          <c:smooth val="0"/>
          <c:extLst>
            <c:ext xmlns:c16="http://schemas.microsoft.com/office/drawing/2014/chart" uri="{C3380CC4-5D6E-409C-BE32-E72D297353CC}">
              <c16:uniqueId val="{00000002-FBDF-4B6F-A657-F372A2944DC9}"/>
            </c:ext>
          </c:extLst>
        </c:ser>
        <c:dLbls>
          <c:showLegendKey val="0"/>
          <c:showVal val="0"/>
          <c:showCatName val="0"/>
          <c:showSerName val="0"/>
          <c:showPercent val="0"/>
          <c:showBubbleSize val="0"/>
        </c:dLbls>
        <c:smooth val="0"/>
        <c:axId val="65896832"/>
        <c:axId val="65898368"/>
      </c:lineChart>
      <c:catAx>
        <c:axId val="65896832"/>
        <c:scaling>
          <c:orientation val="minMax"/>
        </c:scaling>
        <c:delete val="0"/>
        <c:axPos val="b"/>
        <c:numFmt formatCode="dd/mm/yy;@" sourceLinked="0"/>
        <c:majorTickMark val="none"/>
        <c:minorTickMark val="none"/>
        <c:tickLblPos val="nextTo"/>
        <c:txPr>
          <a:bodyPr rot="-5400000" vert="horz"/>
          <a:lstStyle/>
          <a:p>
            <a:pPr>
              <a:defRPr sz="800"/>
            </a:pPr>
            <a:endParaRPr lang="es-ES"/>
          </a:p>
        </c:txPr>
        <c:crossAx val="65898368"/>
        <c:crosses val="autoZero"/>
        <c:auto val="0"/>
        <c:lblAlgn val="ctr"/>
        <c:lblOffset val="100"/>
        <c:noMultiLvlLbl val="0"/>
      </c:catAx>
      <c:valAx>
        <c:axId val="65898368"/>
        <c:scaling>
          <c:orientation val="minMax"/>
        </c:scaling>
        <c:delete val="0"/>
        <c:axPos val="l"/>
        <c:numFmt formatCode="General" sourceLinked="0"/>
        <c:majorTickMark val="none"/>
        <c:minorTickMark val="none"/>
        <c:tickLblPos val="nextTo"/>
        <c:crossAx val="65896832"/>
        <c:crosses val="autoZero"/>
        <c:crossBetween val="between"/>
      </c:valAx>
      <c:spPr>
        <a:noFill/>
        <a:ln w="25400">
          <a:noFill/>
        </a:ln>
      </c:spPr>
    </c:plotArea>
    <c:legend>
      <c:legendPos val="b"/>
      <c:layout>
        <c:manualLayout>
          <c:xMode val="edge"/>
          <c:yMode val="edge"/>
          <c:x val="4.336125321134382E-2"/>
          <c:y val="0.91013327533571242"/>
          <c:w val="0.84961902462192784"/>
          <c:h val="6.9800316775600918E-2"/>
        </c:manualLayout>
      </c:layout>
      <c:overlay val="0"/>
    </c:legend>
    <c:plotVisOnly val="1"/>
    <c:dispBlanksAs val="gap"/>
    <c:showDLblsOverMax val="0"/>
  </c:chart>
  <c:spPr>
    <a:ln>
      <a:noFill/>
    </a:ln>
  </c:spPr>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1886150592132"/>
          <c:y val="1.3427672453722193E-2"/>
          <c:w val="0.87732998058417722"/>
          <c:h val="0.60493587071152977"/>
        </c:manualLayout>
      </c:layout>
      <c:lineChart>
        <c:grouping val="standard"/>
        <c:varyColors val="0"/>
        <c:ser>
          <c:idx val="1"/>
          <c:order val="0"/>
          <c:tx>
            <c:strRef>
              <c:f>'!'!$GK$16</c:f>
              <c:strCache>
                <c:ptCount val="1"/>
                <c:pt idx="0">
                  <c:v>CUSUM as Cumulated Sum of Changes in Energy Consumption[MWh]</c:v>
                </c:pt>
              </c:strCache>
            </c:strRef>
          </c:tx>
          <c:spPr>
            <a:ln w="19050">
              <a:solidFill>
                <a:srgbClr val="33CC33"/>
              </a:solidFill>
            </a:ln>
          </c:spPr>
          <c:marker>
            <c:symbol val="none"/>
          </c:marker>
          <c:cat>
            <c:numRef>
              <c:f>[0]!Dia.y.x</c:f>
              <c:numCache>
                <c:formatCode>m/d/yyyy</c:formatCode>
                <c:ptCount val="1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numCache>
            </c:numRef>
          </c:cat>
          <c:val>
            <c:numRef>
              <c:f>[0]!Dia.y.MoMe.y</c:f>
              <c:numCache>
                <c:formatCode>General</c:formatCode>
                <c:ptCount val="12"/>
                <c:pt idx="0">
                  <c:v>193.30203350164993</c:v>
                </c:pt>
                <c:pt idx="1">
                  <c:v>268.50989072316406</c:v>
                </c:pt>
                <c:pt idx="2">
                  <c:v>335.18700365137738</c:v>
                </c:pt>
                <c:pt idx="3">
                  <c:v>540.76709090609438</c:v>
                </c:pt>
                <c:pt idx="4">
                  <c:v>706.41269986986845</c:v>
                </c:pt>
                <c:pt idx="5">
                  <c:v>1116.4632712888979</c:v>
                </c:pt>
                <c:pt idx="6">
                  <c:v>1397.5905540984586</c:v>
                </c:pt>
                <c:pt idx="7">
                  <c:v>1668.8331034006314</c:v>
                </c:pt>
                <c:pt idx="8">
                  <c:v>2117.6308651692289</c:v>
                </c:pt>
                <c:pt idx="9">
                  <c:v>2698.72426426313</c:v>
                </c:pt>
                <c:pt idx="10">
                  <c:v>4301.2688648952408</c:v>
                </c:pt>
                <c:pt idx="11">
                  <c:v>5944.3269540897472</c:v>
                </c:pt>
              </c:numCache>
            </c:numRef>
          </c:val>
          <c:smooth val="0"/>
          <c:extLst>
            <c:ext xmlns:c16="http://schemas.microsoft.com/office/drawing/2014/chart" uri="{C3380CC4-5D6E-409C-BE32-E72D297353CC}">
              <c16:uniqueId val="{00000000-B6E1-4C7C-B6C0-BFFF75682582}"/>
            </c:ext>
          </c:extLst>
        </c:ser>
        <c:dLbls>
          <c:showLegendKey val="0"/>
          <c:showVal val="0"/>
          <c:showCatName val="0"/>
          <c:showSerName val="0"/>
          <c:showPercent val="0"/>
          <c:showBubbleSize val="0"/>
        </c:dLbls>
        <c:smooth val="0"/>
        <c:axId val="94312320"/>
        <c:axId val="94313856"/>
      </c:lineChart>
      <c:catAx>
        <c:axId val="94312320"/>
        <c:scaling>
          <c:orientation val="minMax"/>
        </c:scaling>
        <c:delete val="0"/>
        <c:axPos val="b"/>
        <c:numFmt formatCode="dd/mm/yy;@" sourceLinked="0"/>
        <c:majorTickMark val="none"/>
        <c:minorTickMark val="none"/>
        <c:tickLblPos val="nextTo"/>
        <c:txPr>
          <a:bodyPr rot="-5400000" vert="horz"/>
          <a:lstStyle/>
          <a:p>
            <a:pPr>
              <a:defRPr sz="800"/>
            </a:pPr>
            <a:endParaRPr lang="es-ES"/>
          </a:p>
        </c:txPr>
        <c:crossAx val="94313856"/>
        <c:crosses val="autoZero"/>
        <c:auto val="0"/>
        <c:lblAlgn val="ctr"/>
        <c:lblOffset val="100"/>
        <c:noMultiLvlLbl val="0"/>
      </c:catAx>
      <c:valAx>
        <c:axId val="94313856"/>
        <c:scaling>
          <c:orientation val="minMax"/>
        </c:scaling>
        <c:delete val="0"/>
        <c:axPos val="l"/>
        <c:numFmt formatCode="General" sourceLinked="0"/>
        <c:majorTickMark val="none"/>
        <c:minorTickMark val="none"/>
        <c:tickLblPos val="nextTo"/>
        <c:crossAx val="94312320"/>
        <c:crosses val="autoZero"/>
        <c:crossBetween val="between"/>
      </c:valAx>
      <c:spPr>
        <a:noFill/>
        <a:ln w="25400">
          <a:noFill/>
        </a:ln>
      </c:spPr>
    </c:plotArea>
    <c:legend>
      <c:legendPos val="b"/>
      <c:layout>
        <c:manualLayout>
          <c:xMode val="edge"/>
          <c:yMode val="edge"/>
          <c:x val="0"/>
          <c:y val="0.86250919692603889"/>
          <c:w val="1"/>
          <c:h val="0.13749080307396111"/>
        </c:manualLayout>
      </c:layout>
      <c:overlay val="0"/>
      <c:txPr>
        <a:bodyPr/>
        <a:lstStyle/>
        <a:p>
          <a:pPr>
            <a:defRPr sz="900"/>
          </a:pPr>
          <a:endParaRPr lang="es-ES"/>
        </a:p>
      </c:txPr>
    </c:legend>
    <c:plotVisOnly val="1"/>
    <c:dispBlanksAs val="gap"/>
    <c:showDLblsOverMax val="0"/>
  </c:chart>
  <c:spPr>
    <a:ln>
      <a:noFill/>
    </a:ln>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3</xdr:col>
      <xdr:colOff>238125</xdr:colOff>
      <xdr:row>2</xdr:row>
      <xdr:rowOff>89866</xdr:rowOff>
    </xdr:to>
    <xdr:pic>
      <xdr:nvPicPr>
        <xdr:cNvPr id="2" name="Grafik 1" descr="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6675"/>
          <a:ext cx="1504950" cy="508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247651</xdr:colOff>
      <xdr:row>5</xdr:row>
      <xdr:rowOff>145774</xdr:rowOff>
    </xdr:from>
    <xdr:to>
      <xdr:col>5</xdr:col>
      <xdr:colOff>819150</xdr:colOff>
      <xdr:row>7</xdr:row>
      <xdr:rowOff>104775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2286001" y="1117324"/>
          <a:ext cx="1333499" cy="359051"/>
          <a:chOff x="6018972" y="1718124"/>
          <a:chExt cx="2239890" cy="485051"/>
        </a:xfrm>
      </xdr:grpSpPr>
      <xdr:pic>
        <xdr:nvPicPr>
          <xdr:cNvPr id="4" name="Grafik 3" descr="Bildergebnis fÃ¼r britische flagge">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V="1">
            <a:off x="6018972" y="1734793"/>
            <a:ext cx="390525" cy="39135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Grafik 4" descr="Bildergebnis fÃ¼r deutsche flagge">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57122" y="1725269"/>
            <a:ext cx="476250" cy="47790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Grafik 5" descr="Flagge Frankreich">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0989" y="1718124"/>
            <a:ext cx="454781" cy="4556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Grafik 6" descr="Bildergebnis fÃ¼r spanien flagge">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45337" y="1765697"/>
            <a:ext cx="330993" cy="33187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Grafik 7" descr="Bildergebnis fÃ¼r niederlande flagge">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64439" y="1730030"/>
            <a:ext cx="394423" cy="3961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123265</xdr:colOff>
      <xdr:row>0</xdr:row>
      <xdr:rowOff>0</xdr:rowOff>
    </xdr:from>
    <xdr:to>
      <xdr:col>2</xdr:col>
      <xdr:colOff>1628215</xdr:colOff>
      <xdr:row>8</xdr:row>
      <xdr:rowOff>38319</xdr:rowOff>
    </xdr:to>
    <xdr:pic>
      <xdr:nvPicPr>
        <xdr:cNvPr id="3" name="Grafik 2" descr="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5" y="0"/>
          <a:ext cx="1504950" cy="508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609600</xdr:colOff>
      <xdr:row>16</xdr:row>
      <xdr:rowOff>28575</xdr:rowOff>
    </xdr:from>
    <xdr:to>
      <xdr:col>5</xdr:col>
      <xdr:colOff>457200</xdr:colOff>
      <xdr:row>17</xdr:row>
      <xdr:rowOff>123825</xdr:rowOff>
    </xdr:to>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3324225" y="7658100"/>
          <a:ext cx="9810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ca. Null</a:t>
          </a:r>
        </a:p>
      </xdr:txBody>
    </xdr:sp>
    <xdr:clientData/>
  </xdr:twoCellAnchor>
  <xdr:twoCellAnchor>
    <xdr:from>
      <xdr:col>3</xdr:col>
      <xdr:colOff>414618</xdr:colOff>
      <xdr:row>18</xdr:row>
      <xdr:rowOff>19049</xdr:rowOff>
    </xdr:from>
    <xdr:to>
      <xdr:col>11</xdr:col>
      <xdr:colOff>11206</xdr:colOff>
      <xdr:row>35</xdr:row>
      <xdr:rowOff>9525</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857248</xdr:colOff>
      <xdr:row>17</xdr:row>
      <xdr:rowOff>57150</xdr:rowOff>
    </xdr:from>
    <xdr:to>
      <xdr:col>4</xdr:col>
      <xdr:colOff>1000125</xdr:colOff>
      <xdr:row>17</xdr:row>
      <xdr:rowOff>161925</xdr:rowOff>
    </xdr:to>
    <xdr:sp macro="" textlink="">
      <xdr:nvSpPr>
        <xdr:cNvPr id="6" name="Pfeil nach unten 5">
          <a:extLst>
            <a:ext uri="{FF2B5EF4-FFF2-40B4-BE49-F238E27FC236}">
              <a16:creationId xmlns:a16="http://schemas.microsoft.com/office/drawing/2014/main" id="{00000000-0008-0000-0400-000006000000}"/>
            </a:ext>
          </a:extLst>
        </xdr:cNvPr>
        <xdr:cNvSpPr/>
      </xdr:nvSpPr>
      <xdr:spPr>
        <a:xfrm>
          <a:off x="3571873" y="7877175"/>
          <a:ext cx="142877" cy="104775"/>
        </a:xfrm>
        <a:prstGeom prst="downArrow">
          <a:avLst>
            <a:gd name="adj1" fmla="val 50000"/>
            <a:gd name="adj2" fmla="val 10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224118</xdr:colOff>
      <xdr:row>0</xdr:row>
      <xdr:rowOff>0</xdr:rowOff>
    </xdr:from>
    <xdr:to>
      <xdr:col>3</xdr:col>
      <xdr:colOff>1729068</xdr:colOff>
      <xdr:row>1</xdr:row>
      <xdr:rowOff>27113</xdr:rowOff>
    </xdr:to>
    <xdr:pic>
      <xdr:nvPicPr>
        <xdr:cNvPr id="5" name="Grafik 4" descr="Log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118" y="0"/>
          <a:ext cx="1504950" cy="508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66675</xdr:colOff>
      <xdr:row>0</xdr:row>
      <xdr:rowOff>0</xdr:rowOff>
    </xdr:from>
    <xdr:to>
      <xdr:col>3</xdr:col>
      <xdr:colOff>133350</xdr:colOff>
      <xdr:row>12</xdr:row>
      <xdr:rowOff>70816</xdr:rowOff>
    </xdr:to>
    <xdr:pic>
      <xdr:nvPicPr>
        <xdr:cNvPr id="2" name="Grafik 1" descr="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504950" cy="508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173935</xdr:colOff>
      <xdr:row>11</xdr:row>
      <xdr:rowOff>215347</xdr:rowOff>
    </xdr:from>
    <xdr:to>
      <xdr:col>10</xdr:col>
      <xdr:colOff>41413</xdr:colOff>
      <xdr:row>27</xdr:row>
      <xdr:rowOff>74543</xdr:rowOff>
    </xdr:to>
    <xdr:graphicFrame macro="">
      <xdr:nvGraphicFramePr>
        <xdr:cNvPr id="4" name="Diagramm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298174</xdr:colOff>
      <xdr:row>11</xdr:row>
      <xdr:rowOff>190501</xdr:rowOff>
    </xdr:from>
    <xdr:to>
      <xdr:col>13</xdr:col>
      <xdr:colOff>712303</xdr:colOff>
      <xdr:row>27</xdr:row>
      <xdr:rowOff>140804</xdr:rowOff>
    </xdr:to>
    <xdr:graphicFrame macro="">
      <xdr:nvGraphicFramePr>
        <xdr:cNvPr id="5" name="Diagram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66261</xdr:colOff>
      <xdr:row>0</xdr:row>
      <xdr:rowOff>0</xdr:rowOff>
    </xdr:from>
    <xdr:to>
      <xdr:col>3</xdr:col>
      <xdr:colOff>477907</xdr:colOff>
      <xdr:row>2</xdr:row>
      <xdr:rowOff>20292</xdr:rowOff>
    </xdr:to>
    <xdr:pic>
      <xdr:nvPicPr>
        <xdr:cNvPr id="6" name="Grafik 5" descr="Logo">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4435" y="0"/>
          <a:ext cx="1504950" cy="508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466725</xdr:colOff>
      <xdr:row>2</xdr:row>
      <xdr:rowOff>139077</xdr:rowOff>
    </xdr:to>
    <xdr:pic>
      <xdr:nvPicPr>
        <xdr:cNvPr id="2" name="Picture 21" descr="ÖKOTEC_Logo_farbig_Standard">
          <a:extLst>
            <a:ext uri="{FF2B5EF4-FFF2-40B4-BE49-F238E27FC236}">
              <a16:creationId xmlns:a16="http://schemas.microsoft.com/office/drawing/2014/main" id="{00000000-0008-0000-0700-000002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28725" cy="567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support.office.com/en-us/article/load-the-analysis-toolpak-in-excel-6a63e598-cd6d-42e3-9317-6b40ba1a66b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Georg.Ratjen@oekotec.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rgb="FF00B050"/>
  </sheetPr>
  <dimension ref="A1:KV390"/>
  <sheetViews>
    <sheetView workbookViewId="0">
      <selection activeCell="HQ15" sqref="HQ15"/>
    </sheetView>
  </sheetViews>
  <sheetFormatPr baseColWidth="10" defaultColWidth="11" defaultRowHeight="17.25" customHeight="1" x14ac:dyDescent="0.35"/>
  <cols>
    <col min="1" max="1" width="15.1796875" style="429" customWidth="1"/>
    <col min="2" max="191" width="11" style="429"/>
    <col min="192" max="193" width="11.54296875" style="429" bestFit="1" customWidth="1"/>
    <col min="194" max="194" width="15.54296875" style="429" bestFit="1" customWidth="1"/>
    <col min="195" max="195" width="11.54296875" style="429" bestFit="1" customWidth="1"/>
    <col min="196" max="196" width="15.54296875" style="429" bestFit="1" customWidth="1"/>
    <col min="197" max="199" width="11.54296875" style="429" bestFit="1" customWidth="1"/>
    <col min="200" max="200" width="25.81640625" style="429" customWidth="1"/>
    <col min="201" max="201" width="25.26953125" style="429" customWidth="1"/>
    <col min="202" max="203" width="15.54296875" style="432" bestFit="1" customWidth="1"/>
    <col min="204" max="204" width="11.54296875" style="429" bestFit="1" customWidth="1"/>
    <col min="205" max="205" width="11.7265625" style="429" bestFit="1" customWidth="1"/>
    <col min="206" max="206" width="12.54296875" style="429" bestFit="1" customWidth="1"/>
    <col min="207" max="207" width="11.7265625" style="429" bestFit="1" customWidth="1"/>
    <col min="208" max="223" width="11.54296875" style="429" bestFit="1" customWidth="1"/>
    <col min="224" max="224" width="13.54296875" style="429" bestFit="1" customWidth="1"/>
    <col min="225" max="228" width="11.26953125" style="429" bestFit="1" customWidth="1"/>
    <col min="229" max="229" width="11" style="429"/>
    <col min="230" max="230" width="12" style="429" bestFit="1" customWidth="1"/>
    <col min="231" max="232" width="11" style="429"/>
    <col min="233" max="239" width="11.26953125" style="429" bestFit="1" customWidth="1"/>
    <col min="240" max="16384" width="11" style="429"/>
  </cols>
  <sheetData>
    <row r="1" spans="1:308" ht="17.25" customHeight="1" thickBot="1" x14ac:dyDescent="0.4">
      <c r="A1" s="429" t="s">
        <v>172</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c r="AR1" s="430"/>
      <c r="AS1" s="430"/>
      <c r="AT1" s="430"/>
      <c r="AU1" s="430"/>
      <c r="AV1" s="430"/>
      <c r="AW1" s="430"/>
      <c r="AX1" s="430"/>
      <c r="AY1" s="430"/>
      <c r="AZ1" s="430"/>
      <c r="BA1" s="430"/>
      <c r="BB1" s="430"/>
      <c r="BC1" s="430"/>
      <c r="BD1" s="430"/>
      <c r="BE1" s="430"/>
      <c r="BF1" s="430"/>
      <c r="BG1" s="430"/>
      <c r="BH1" s="430"/>
      <c r="BI1" s="430"/>
      <c r="BJ1" s="430"/>
      <c r="BK1" s="430"/>
      <c r="BL1" s="430"/>
      <c r="BM1" s="430"/>
      <c r="BN1" s="430"/>
      <c r="BO1" s="430"/>
      <c r="BP1" s="430"/>
      <c r="BQ1" s="430"/>
      <c r="BR1" s="430"/>
      <c r="BS1" s="430"/>
      <c r="BT1" s="430"/>
      <c r="BU1" s="430"/>
      <c r="BV1" s="430"/>
      <c r="BW1" s="430"/>
      <c r="BX1" s="430"/>
      <c r="BY1" s="430"/>
      <c r="BZ1" s="430"/>
      <c r="CA1" s="430"/>
      <c r="CB1" s="430"/>
      <c r="CC1" s="430"/>
      <c r="CD1" s="430"/>
      <c r="CE1" s="430"/>
      <c r="CF1" s="430"/>
      <c r="CG1" s="430"/>
      <c r="CH1" s="430"/>
      <c r="CI1" s="430"/>
      <c r="CJ1" s="430"/>
      <c r="CK1" s="430"/>
      <c r="CL1" s="430"/>
      <c r="CM1" s="430"/>
      <c r="CN1" s="430"/>
      <c r="CO1" s="430"/>
      <c r="CP1" s="430"/>
      <c r="CQ1" s="430"/>
      <c r="CR1" s="430"/>
      <c r="CS1" s="430"/>
      <c r="CT1" s="430"/>
      <c r="CU1" s="430"/>
      <c r="CV1" s="430"/>
      <c r="CW1" s="430"/>
      <c r="CX1" s="430"/>
      <c r="CY1" s="430"/>
      <c r="CZ1" s="430"/>
      <c r="DA1" s="430"/>
      <c r="DB1" s="430"/>
      <c r="DC1" s="430"/>
      <c r="DD1" s="430"/>
      <c r="DE1" s="430"/>
      <c r="DF1" s="430"/>
      <c r="DG1" s="430"/>
      <c r="DH1" s="430"/>
      <c r="DI1" s="430"/>
      <c r="DJ1" s="430"/>
      <c r="DK1" s="430"/>
      <c r="DL1" s="430"/>
      <c r="DM1" s="430"/>
      <c r="DN1" s="430"/>
      <c r="DO1" s="430"/>
      <c r="DP1" s="430"/>
      <c r="DQ1" s="430"/>
      <c r="DR1" s="430"/>
      <c r="DS1" s="430"/>
      <c r="DT1" s="430"/>
      <c r="DU1" s="430"/>
      <c r="DV1" s="430"/>
      <c r="DW1" s="430"/>
      <c r="DX1" s="430"/>
      <c r="DY1" s="430"/>
      <c r="DZ1" s="430"/>
      <c r="EA1" s="430"/>
      <c r="EB1" s="430"/>
      <c r="EC1" s="430"/>
      <c r="ED1" s="430"/>
      <c r="EE1" s="430"/>
      <c r="EF1" s="430"/>
      <c r="EG1" s="430"/>
      <c r="EH1" s="430"/>
      <c r="EI1" s="430"/>
      <c r="EJ1" s="430"/>
      <c r="EK1" s="430"/>
      <c r="EL1" s="430"/>
      <c r="EM1" s="430"/>
      <c r="EN1" s="430"/>
      <c r="EO1" s="430"/>
      <c r="EP1" s="430"/>
      <c r="EQ1" s="430"/>
      <c r="ER1" s="430"/>
      <c r="ES1" s="430"/>
      <c r="ET1" s="430"/>
      <c r="EU1" s="430"/>
      <c r="EV1" s="430"/>
      <c r="EW1" s="430"/>
      <c r="EX1" s="430"/>
      <c r="EY1" s="430"/>
      <c r="EZ1" s="430"/>
      <c r="FA1" s="430"/>
      <c r="FB1" s="430"/>
      <c r="FC1" s="430"/>
      <c r="FD1" s="430"/>
      <c r="FE1" s="430"/>
      <c r="FF1" s="430"/>
      <c r="FG1" s="430"/>
      <c r="FH1" s="430"/>
      <c r="FI1" s="430"/>
      <c r="FJ1" s="430"/>
      <c r="FK1" s="430"/>
      <c r="FL1" s="430"/>
      <c r="FM1" s="430"/>
      <c r="FN1" s="430"/>
      <c r="FO1" s="430"/>
      <c r="FP1" s="430"/>
      <c r="FQ1" s="430"/>
      <c r="FR1" s="430"/>
      <c r="FS1" s="430"/>
      <c r="FT1" s="430"/>
      <c r="FU1" s="430"/>
      <c r="FV1" s="430"/>
      <c r="FW1" s="430"/>
      <c r="FX1" s="430"/>
      <c r="FY1" s="430"/>
      <c r="FZ1" s="430"/>
      <c r="GA1" s="430"/>
      <c r="GB1" s="430"/>
      <c r="GC1" s="430"/>
      <c r="GD1" s="430"/>
      <c r="GE1" s="430"/>
      <c r="GT1" s="431"/>
      <c r="GU1" s="432" t="s">
        <v>76</v>
      </c>
      <c r="GX1" s="433" t="s">
        <v>45</v>
      </c>
      <c r="GY1" s="433" t="s">
        <v>46</v>
      </c>
      <c r="GZ1" s="429" t="s">
        <v>122</v>
      </c>
      <c r="HS1" s="429">
        <f>IF(HT1=1,1,IF(OR(Reference!E21=0,Reference!E21=""),0,1))</f>
        <v>1</v>
      </c>
      <c r="HT1" s="429">
        <f>IF(HU1=1,1,IF(OR(Reference!F21=0,Reference!F21=""),0,1))</f>
        <v>1</v>
      </c>
      <c r="HU1" s="429">
        <f>IF(HV1=1,1,IF(OR(Reference!G21=0,Reference!G21=""),0,1))</f>
        <v>1</v>
      </c>
      <c r="HV1" s="429">
        <f>IF(OR(Reference!H21=0,Reference!H21=""),0,1)</f>
        <v>0</v>
      </c>
      <c r="KI1" s="429" t="s">
        <v>171</v>
      </c>
      <c r="KV1" s="429" t="s">
        <v>171</v>
      </c>
    </row>
    <row r="2" spans="1:308" ht="17.25" customHeight="1" x14ac:dyDescent="0.35">
      <c r="A2" s="429" t="s">
        <v>184</v>
      </c>
      <c r="GL2" s="429" t="e">
        <f>IF(Report!D4='!'!HE4,GN4,GN7)</f>
        <v>#N/A</v>
      </c>
      <c r="GR2" s="429" t="str">
        <f>'!!'!I12</f>
        <v>Production</v>
      </c>
      <c r="GS2" s="429" t="str">
        <f>'!!'!I18</f>
        <v>Tons</v>
      </c>
      <c r="GU2" s="429" t="str">
        <f>Reference!E21</f>
        <v>Production</v>
      </c>
      <c r="GV2" s="434" t="str">
        <f>IF(Reference!E19=$HD3," ",IF(Reference!E19=$HD4,"^2","^(1/2)"))</f>
        <v>^(1/2)</v>
      </c>
      <c r="GW2" s="429" t="str">
        <f t="shared" ref="GW2:GW9" si="0">CONCATENATE(GU2,GV2)</f>
        <v>Production^(1/2)</v>
      </c>
      <c r="GX2" s="435">
        <f t="shared" ref="GX2:GX8" si="1">IF(GV2="^2",2,IF(GV2="^(1/2)",0.5,1))</f>
        <v>0.5</v>
      </c>
      <c r="GY2" s="429">
        <v>3</v>
      </c>
      <c r="HA2" s="429" t="s">
        <v>79</v>
      </c>
      <c r="HG2" s="434" t="s">
        <v>92</v>
      </c>
      <c r="HH2" s="429" t="s">
        <v>125</v>
      </c>
      <c r="HI2" s="429" t="s">
        <v>124</v>
      </c>
      <c r="HL2" s="429" t="s">
        <v>145</v>
      </c>
      <c r="HS2" s="436" t="str">
        <f>IF(HS1=1,"AN","AUS")</f>
        <v>AN</v>
      </c>
      <c r="HT2" s="436" t="str">
        <f>IF(HT1=1,"AN","AUS")</f>
        <v>AN</v>
      </c>
      <c r="HU2" s="436" t="str">
        <f>IF(HU1=1,"AN","AUS")</f>
        <v>AN</v>
      </c>
      <c r="HV2" s="436" t="str">
        <f>IF(HV1=1,"AN","AUS")</f>
        <v>AUS</v>
      </c>
    </row>
    <row r="3" spans="1:308" ht="17.25" customHeight="1" x14ac:dyDescent="0.35">
      <c r="GL3" s="429" t="e">
        <f>IF(Report!D4='!'!HE4,GN5,GN8)</f>
        <v>#N/A</v>
      </c>
      <c r="GN3" s="437" t="s">
        <v>97</v>
      </c>
      <c r="GP3" s="429" t="s">
        <v>108</v>
      </c>
      <c r="GR3" s="429" t="str">
        <f>'!!'!K12</f>
        <v>Heating degree Days</v>
      </c>
      <c r="GS3" s="429" t="str">
        <f>'!!'!K18</f>
        <v>Kd</v>
      </c>
      <c r="GU3" s="429" t="str">
        <f>GU2</f>
        <v>Production</v>
      </c>
      <c r="GV3" s="434"/>
      <c r="GW3" s="429" t="str">
        <f t="shared" si="0"/>
        <v>Production</v>
      </c>
      <c r="GX3" s="435">
        <f t="shared" si="1"/>
        <v>1</v>
      </c>
      <c r="GY3" s="429">
        <v>3</v>
      </c>
      <c r="HA3" s="434"/>
      <c r="HB3" s="434" t="s">
        <v>0</v>
      </c>
      <c r="HC3" s="434" t="s">
        <v>0</v>
      </c>
      <c r="HD3" s="434" t="s">
        <v>2</v>
      </c>
      <c r="HE3" s="429" t="s">
        <v>50</v>
      </c>
      <c r="HF3" s="429" t="str">
        <f>'Translation Table (internal)'!A88</f>
        <v>Cumulated Error</v>
      </c>
      <c r="HG3" s="434" t="s">
        <v>106</v>
      </c>
      <c r="HH3" s="429" t="str">
        <f>IFERROR(VLOOKUP(GW2,Baseline!$D$55:$G$58,4,FALSE),"")</f>
        <v/>
      </c>
      <c r="HI3" s="437" t="str">
        <f>IF(HH3="","",IF(HH3&lt;0,CONCATENATE(HH3,"*"),CONCATENATE("+",HH3,"*")))</f>
        <v/>
      </c>
      <c r="HJ3" s="431" t="str">
        <f>IF(HH3="","","x1²")</f>
        <v/>
      </c>
      <c r="HP3" s="438"/>
    </row>
    <row r="4" spans="1:308" ht="17.25" customHeight="1" x14ac:dyDescent="0.35">
      <c r="GN4" s="432" t="e">
        <f>VLOOKUP(Report!G4,'!'!$GU$24:$HE$390,'!'!HE$17,FALSE)-1</f>
        <v>#N/A</v>
      </c>
      <c r="GO4" s="429">
        <f>COUNT(GW21:HD21)</f>
        <v>3</v>
      </c>
      <c r="GP4" s="429" t="str">
        <f>IF(Reference!O19="",Reference!C17,Reference!O19)</f>
        <v>Month</v>
      </c>
      <c r="GR4" s="429" t="str">
        <f>'!!'!M12</f>
        <v>Days since last external Maintenance</v>
      </c>
      <c r="GS4" s="429" t="str">
        <f>'!!'!M18</f>
        <v>Days</v>
      </c>
      <c r="GU4" s="429" t="str">
        <f>Reference!F21</f>
        <v>Heating degree Days</v>
      </c>
      <c r="GV4" s="434" t="str">
        <f>IF(Reference!F19=$HD3," ",IF(Reference!F19=$HD4,"^2","^(1/2)"))</f>
        <v>^(1/2)</v>
      </c>
      <c r="GW4" s="429" t="str">
        <f t="shared" si="0"/>
        <v>Heating degree Days^(1/2)</v>
      </c>
      <c r="GX4" s="435">
        <f t="shared" si="1"/>
        <v>0.5</v>
      </c>
      <c r="GY4" s="429">
        <v>4</v>
      </c>
      <c r="HA4" s="434"/>
      <c r="HB4" s="434" t="s">
        <v>1</v>
      </c>
      <c r="HC4" s="434" t="s">
        <v>1</v>
      </c>
      <c r="HD4" s="434" t="s">
        <v>4</v>
      </c>
      <c r="HE4" s="429" t="s">
        <v>38</v>
      </c>
      <c r="HF4" s="429" t="str">
        <f>'Translation Table (internal)'!A89</f>
        <v>CUSUM as Cumulated Sum of Changes in Energy Consumption</v>
      </c>
      <c r="HG4" s="434" t="s">
        <v>107</v>
      </c>
      <c r="HH4" s="429">
        <f>IFERROR(VLOOKUP(GW3,Baseline!$D$55:$G$58,4,FALSE),"")</f>
        <v>35.880449090508378</v>
      </c>
      <c r="HI4" s="437" t="str">
        <f t="shared" ref="HI4:HI10" si="2">IF(HH4="","",IF(HH4&lt;0,CONCATENATE(HH4,"*"),CONCATENATE("+",HH4,"*")))</f>
        <v>+35,8804490905084*</v>
      </c>
      <c r="HJ4" s="431" t="str">
        <f>IF(HH4="","","x1")</f>
        <v>x1</v>
      </c>
      <c r="HL4" s="438">
        <f>Report!G34-Report!G35</f>
        <v>1643.0580891945065</v>
      </c>
      <c r="HM4" s="438">
        <f>Report!I34-Report!I35</f>
        <v>1602.5446006321108</v>
      </c>
      <c r="HN4" s="438">
        <f>Report!K34-Report!K35</f>
        <v>581.0933990939011</v>
      </c>
      <c r="HO4" s="438">
        <f>Report!M34-Report!M35</f>
        <v>448.79776176859741</v>
      </c>
    </row>
    <row r="5" spans="1:308" ht="17.25" customHeight="1" x14ac:dyDescent="0.35">
      <c r="GL5" s="429" t="s">
        <v>115</v>
      </c>
      <c r="GN5" s="429" t="e">
        <f>VLOOKUP(Report!H4,'!'!$GU$24:$HE$390,'!'!HE$17,FALSE)</f>
        <v>#N/A</v>
      </c>
      <c r="GR5" s="429" t="str">
        <f>'!!'!O12</f>
        <v/>
      </c>
      <c r="GS5" s="429" t="str">
        <f>'!!'!O18</f>
        <v/>
      </c>
      <c r="GU5" s="429" t="str">
        <f>GU4</f>
        <v>Heating degree Days</v>
      </c>
      <c r="GW5" s="429" t="str">
        <f t="shared" si="0"/>
        <v>Heating degree Days</v>
      </c>
      <c r="GX5" s="435">
        <f t="shared" si="1"/>
        <v>1</v>
      </c>
      <c r="GY5" s="429">
        <v>4</v>
      </c>
      <c r="HA5" s="434"/>
      <c r="HB5" s="434"/>
      <c r="HC5" s="434"/>
      <c r="HD5" s="434" t="s">
        <v>7</v>
      </c>
      <c r="HE5" s="434"/>
      <c r="HG5" s="434" t="s">
        <v>104</v>
      </c>
      <c r="HH5" s="429" t="str">
        <f>IFERROR(VLOOKUP(GW4,Baseline!$D$55:$G$58,4,FALSE),"")</f>
        <v/>
      </c>
      <c r="HI5" s="437" t="str">
        <f t="shared" si="2"/>
        <v/>
      </c>
      <c r="HJ5" s="431" t="str">
        <f>IF(HH5="","","x2²")</f>
        <v/>
      </c>
      <c r="HK5" s="439" t="s">
        <v>147</v>
      </c>
      <c r="HL5" s="429">
        <f>IF(HL4&gt;=0,HL4,"")</f>
        <v>1643.0580891945065</v>
      </c>
      <c r="HM5" s="429">
        <f>IF(HM4&gt;=0,HM4,"")</f>
        <v>1602.5446006321108</v>
      </c>
      <c r="HN5" s="429">
        <f>IF(HN4&gt;=0,HN4,"")</f>
        <v>581.0933990939011</v>
      </c>
      <c r="HO5" s="429">
        <f>IF(HO4&gt;=0,HO4,"")</f>
        <v>448.79776176859741</v>
      </c>
    </row>
    <row r="6" spans="1:308" ht="17.25" customHeight="1" x14ac:dyDescent="0.35">
      <c r="GJ6" s="437" t="s">
        <v>78</v>
      </c>
      <c r="GL6" s="437" t="s">
        <v>98</v>
      </c>
      <c r="GN6" s="437" t="s">
        <v>96</v>
      </c>
      <c r="GU6" s="429" t="str">
        <f>Reference!G21</f>
        <v>Days since last external Maintenance</v>
      </c>
      <c r="GV6" s="434" t="str">
        <f>IF(Reference!G19=$HD3," ",IF(Reference!G19=$HD4,"^2","^(1/2)"))</f>
        <v>^(1/2)</v>
      </c>
      <c r="GW6" s="429" t="str">
        <f t="shared" si="0"/>
        <v>Days since last external Maintenance^(1/2)</v>
      </c>
      <c r="GX6" s="435">
        <f t="shared" si="1"/>
        <v>0.5</v>
      </c>
      <c r="GY6" s="434">
        <v>5</v>
      </c>
      <c r="HA6" s="429" t="s">
        <v>77</v>
      </c>
      <c r="HB6" s="434"/>
      <c r="HC6" s="434"/>
      <c r="HD6" s="434"/>
      <c r="HE6" s="434"/>
      <c r="HH6" s="429">
        <f>IFERROR(VLOOKUP(GW5,Baseline!$D$55:$G$58,4,FALSE),"")</f>
        <v>5.7655584581291377</v>
      </c>
      <c r="HI6" s="437" t="str">
        <f t="shared" si="2"/>
        <v>+5,76555845812914*</v>
      </c>
      <c r="HJ6" s="431" t="str">
        <f>IF(HH6="","","x2")</f>
        <v>x2</v>
      </c>
      <c r="HK6" s="439" t="s">
        <v>148</v>
      </c>
      <c r="HL6" s="429" t="str">
        <f>IF(HL4&lt;0,HL4,"")</f>
        <v/>
      </c>
      <c r="HM6" s="429" t="str">
        <f>IF(HM4&lt;0,HM4,"")</f>
        <v/>
      </c>
      <c r="HN6" s="429" t="str">
        <f>IF(HN4&lt;0,HN4,"")</f>
        <v/>
      </c>
      <c r="HO6" s="429" t="str">
        <f>IF(HO4&lt;0,HO4,"")</f>
        <v/>
      </c>
    </row>
    <row r="7" spans="1:308" ht="17.25" customHeight="1" x14ac:dyDescent="0.35">
      <c r="GJ7" s="429">
        <f>'!!'!A24</f>
        <v>0</v>
      </c>
      <c r="GK7" s="429">
        <f>SUM(HS1:HV1)</f>
        <v>3</v>
      </c>
      <c r="GL7" s="432">
        <f>VLOOKUP(Reference!C21,'!'!$GU$24:$HE$390,'!'!HE$17,FALSE)-1</f>
        <v>0</v>
      </c>
      <c r="GM7" s="429">
        <f>GK7</f>
        <v>3</v>
      </c>
      <c r="GN7" s="432" t="e">
        <f>VLOOKUP(Report!G4,'!'!$GU$24:$HE$390,'!'!HE$17,FALSE)-1</f>
        <v>#N/A</v>
      </c>
      <c r="GO7" s="429">
        <f>GM7</f>
        <v>3</v>
      </c>
      <c r="GP7" s="429" t="s">
        <v>53</v>
      </c>
      <c r="GQ7" s="429" t="s">
        <v>54</v>
      </c>
      <c r="GU7" s="429" t="str">
        <f>GU6</f>
        <v>Days since last external Maintenance</v>
      </c>
      <c r="GW7" s="429" t="str">
        <f t="shared" si="0"/>
        <v>Days since last external Maintenance</v>
      </c>
      <c r="GX7" s="435">
        <f t="shared" si="1"/>
        <v>1</v>
      </c>
      <c r="GY7" s="434">
        <v>5</v>
      </c>
      <c r="HA7" s="434"/>
      <c r="HH7" s="429" t="str">
        <f>IFERROR(VLOOKUP(GW6,Baseline!$D$55:$G$58,4,FALSE),"")</f>
        <v/>
      </c>
      <c r="HI7" s="437" t="str">
        <f t="shared" si="2"/>
        <v/>
      </c>
      <c r="HJ7" s="431" t="str">
        <f>IF(HH7="","","x3²")</f>
        <v/>
      </c>
      <c r="HK7" s="439" t="s">
        <v>156</v>
      </c>
      <c r="HL7" s="429">
        <f>ABS(HL4)</f>
        <v>1643.0580891945065</v>
      </c>
      <c r="HM7" s="429">
        <f>ABS(HM4)</f>
        <v>1602.5446006321108</v>
      </c>
      <c r="HN7" s="429">
        <f>ABS(HN4)</f>
        <v>581.0933990939011</v>
      </c>
      <c r="HO7" s="429">
        <f>ABS(HO4)</f>
        <v>448.79776176859741</v>
      </c>
    </row>
    <row r="8" spans="1:308" ht="17.25" customHeight="1" x14ac:dyDescent="0.35">
      <c r="GJ8" s="429">
        <f>COUNTA('!!'!$B$25:B390)-COUNTIF('!!'!$B$25:B390,'!'!$GJ$15)</f>
        <v>12</v>
      </c>
      <c r="GL8" s="429">
        <f>VLOOKUP(Reference!C23,'!'!$GU$24:$HE$390,'!'!HE$17,FALSE)</f>
        <v>12</v>
      </c>
      <c r="GN8" s="429" t="e">
        <f>VLOOKUP(Report!H4,'!'!$GU$24:$HE$390,'!'!HE$17,FALSE)</f>
        <v>#N/A</v>
      </c>
      <c r="GP8" s="429" t="e">
        <f ca="1">OFFSET('!'!$GW$25,'!'!$GL$7,0,'!'!$GL$8-'!'!$GL$7,'!'!$GM$7)</f>
        <v>#VALUE!</v>
      </c>
      <c r="GQ8" s="429" t="e">
        <f ca="1">OFFSET('!'!$GV$25,'!'!$GL$7,0,'!'!$GL$8-'!'!$GL$7)</f>
        <v>#VALUE!</v>
      </c>
      <c r="GU8" s="429">
        <f>Reference!H21</f>
        <v>0</v>
      </c>
      <c r="GV8" s="434" t="str">
        <f>IF(Reference!H19=$HD3," ",IF(Reference!H19=$HD4,"^2","^(1/2)"))</f>
        <v>^(1/2)</v>
      </c>
      <c r="GW8" s="429" t="str">
        <f t="shared" si="0"/>
        <v>0^(1/2)</v>
      </c>
      <c r="GX8" s="435">
        <f t="shared" si="1"/>
        <v>0.5</v>
      </c>
      <c r="GY8" s="434">
        <v>6</v>
      </c>
      <c r="HA8" s="434"/>
      <c r="HH8" s="429">
        <f>IFERROR(VLOOKUP(GW7,Baseline!$D$55:$G$58,4,FALSE),"")</f>
        <v>19.240871750773113</v>
      </c>
      <c r="HI8" s="437" t="str">
        <f t="shared" si="2"/>
        <v>+19,2408717507731*</v>
      </c>
      <c r="HJ8" s="431" t="str">
        <f>IF(HH8="","","x3")</f>
        <v>x3</v>
      </c>
    </row>
    <row r="9" spans="1:308" ht="17.25" customHeight="1" x14ac:dyDescent="0.35">
      <c r="GJ9" s="429" t="s">
        <v>64</v>
      </c>
      <c r="GK9" s="429" t="s">
        <v>65</v>
      </c>
      <c r="GL9" s="429" t="s">
        <v>66</v>
      </c>
      <c r="GM9" s="429" t="s">
        <v>67</v>
      </c>
      <c r="GN9" s="429" t="s">
        <v>68</v>
      </c>
      <c r="GO9" s="429" t="s">
        <v>69</v>
      </c>
      <c r="GP9" s="429" t="s">
        <v>70</v>
      </c>
      <c r="GQ9" s="429" t="s">
        <v>71</v>
      </c>
      <c r="GR9" s="429" t="s">
        <v>72</v>
      </c>
      <c r="GS9" s="429" t="s">
        <v>73</v>
      </c>
      <c r="GU9" s="429">
        <f>GU8</f>
        <v>0</v>
      </c>
      <c r="GW9" s="429" t="str">
        <f t="shared" si="0"/>
        <v>0</v>
      </c>
      <c r="GX9" s="435">
        <f t="shared" ref="GX9" si="3">IF(GV9="^2",2,IF(GV9="^(1/2)",0.5,1))</f>
        <v>1</v>
      </c>
      <c r="GY9" s="434">
        <v>6</v>
      </c>
      <c r="HA9" s="434" t="s">
        <v>6</v>
      </c>
      <c r="HB9" s="429" t="str">
        <f>'!'!HS2</f>
        <v>AN</v>
      </c>
      <c r="HC9" s="429" t="str">
        <f>'!'!HT2</f>
        <v>AN</v>
      </c>
      <c r="HD9" s="429" t="str">
        <f>'!'!HU2</f>
        <v>AN</v>
      </c>
      <c r="HE9" s="429" t="str">
        <f>'!'!HV2</f>
        <v>AUS</v>
      </c>
      <c r="HH9" s="429" t="str">
        <f>IFERROR(VLOOKUP(GW8,Baseline!$D$55:$G$58,4,FALSE),"")</f>
        <v/>
      </c>
      <c r="HI9" s="437" t="str">
        <f t="shared" si="2"/>
        <v/>
      </c>
      <c r="HJ9" s="431" t="str">
        <f>IF(HH9="","","x4²")</f>
        <v/>
      </c>
    </row>
    <row r="10" spans="1:308" ht="17.25" customHeight="1" x14ac:dyDescent="0.35">
      <c r="GJ10" s="429" t="e">
        <f ca="1">OFFSET('!!'!D25,'!'!$GJ$7,0,'!'!$GJ$8-'!'!$GJ$7)</f>
        <v>#VALUE!</v>
      </c>
      <c r="GK10" s="429" t="e">
        <f ca="1">OFFSET('!!'!G25,'!'!$GJ$7,0,'!'!$GJ$8-'!'!$GJ$7)</f>
        <v>#VALUE!</v>
      </c>
      <c r="GL10" s="429" t="e">
        <f ca="1">OFFSET('!'!GM25,'!'!$GJ$7,0,'!'!$GJ$8-'!'!$GJ$7)</f>
        <v>#VALUE!</v>
      </c>
      <c r="GM10" s="429" t="e">
        <f ca="1">OFFSET('!!'!W25,'!'!$GJ$7,0,'!'!$GJ$8-'!'!$GJ$7)</f>
        <v>#VALUE!</v>
      </c>
      <c r="GN10" s="429" t="e">
        <f ca="1">OFFSET('!'!GN25,'!'!$GJ$7,0,'!'!$GJ$8-'!'!$GJ$7)</f>
        <v>#VALUE!</v>
      </c>
      <c r="GO10" s="429" t="e">
        <f ca="1">OFFSET('!!'!X25,'!'!$GJ$7,0,'!'!$GJ$8-'!'!$GJ$7)</f>
        <v>#VALUE!</v>
      </c>
      <c r="GP10" s="429" t="e">
        <f ca="1">OFFSET('!'!GO25,'!'!$GJ$7,0,'!'!$GJ$8-'!'!$GJ$7)</f>
        <v>#VALUE!</v>
      </c>
      <c r="GQ10" s="429" t="e">
        <f ca="1">OFFSET('!!'!Y25,'!'!$GJ$7,0,'!'!$GJ$8-'!'!$GJ$7)</f>
        <v>#VALUE!</v>
      </c>
      <c r="GR10" s="429" t="e">
        <f ca="1">OFFSET('!'!GP25,'!'!$GJ$7,0,'!'!$GJ$8-'!'!$GJ$7)</f>
        <v>#VALUE!</v>
      </c>
      <c r="GS10" s="429" t="e">
        <f ca="1">OFFSET('!!'!Z24,'!'!$GJ$7,0,'!'!$GJ$8-'!'!$GJ$7)</f>
        <v>#VALUE!</v>
      </c>
      <c r="GX10" s="429">
        <v>2</v>
      </c>
      <c r="GY10" s="434">
        <v>3</v>
      </c>
      <c r="HA10" s="434"/>
      <c r="HB10" s="434"/>
      <c r="HC10" s="434"/>
      <c r="HD10" s="434"/>
      <c r="HE10" s="434"/>
      <c r="HH10" s="429" t="str">
        <f>IFERROR(VLOOKUP(GW9,Baseline!$D$55:$G$58,4,FALSE),"")</f>
        <v/>
      </c>
      <c r="HI10" s="437" t="str">
        <f t="shared" si="2"/>
        <v/>
      </c>
      <c r="HJ10" s="431" t="str">
        <f>IF(HH10="","","x4")</f>
        <v/>
      </c>
      <c r="HL10" s="429">
        <f>LARGE(HL5:HO5,1)</f>
        <v>1643.0580891945065</v>
      </c>
      <c r="HM10" s="429" t="s">
        <v>146</v>
      </c>
      <c r="HN10" s="429" t="e">
        <f>LARGE(HL6:HO6,1)</f>
        <v>#NUM!</v>
      </c>
      <c r="HO10" s="429" t="s">
        <v>152</v>
      </c>
      <c r="HP10" s="429">
        <f>LARGE(HL7:HO7,1)</f>
        <v>1643.0580891945065</v>
      </c>
      <c r="HQ10" s="429" t="s">
        <v>157</v>
      </c>
    </row>
    <row r="11" spans="1:308" ht="17.25" customHeight="1" x14ac:dyDescent="0.35">
      <c r="GJ11" s="429" t="e">
        <f ca="1">OFFSET('!!'!B25,'!'!GJ7,0,'!'!GJ8-'!'!GJ7)</f>
        <v>#VALUE!</v>
      </c>
      <c r="GL11" s="440" t="e">
        <f ca="1">OFFSET('!!'!I25,'!'!$GJ$7,0,'!'!$GJ$8-'!'!$GJ$7)</f>
        <v>#VALUE!</v>
      </c>
      <c r="GM11" s="440"/>
      <c r="GN11" s="440" t="e">
        <f ca="1">OFFSET('!!'!K25,'!'!$GJ$7,0,'!'!$GJ$8-'!'!$GJ$7)</f>
        <v>#VALUE!</v>
      </c>
      <c r="GP11" s="440" t="e">
        <f ca="1">OFFSET('!!'!M25,'!'!$GJ$7,0,'!'!$GJ$8-'!'!$GJ$7)</f>
        <v>#VALUE!</v>
      </c>
      <c r="GR11" s="440" t="e">
        <f ca="1">OFFSET('!!'!O25,'!'!$GJ$7,0,'!'!$GJ$8-'!'!$GJ$7)</f>
        <v>#VALUE!</v>
      </c>
      <c r="GV11" s="441"/>
      <c r="HH11" s="429">
        <f>ROUND(Baseline!G59,6)</f>
        <v>626.183629</v>
      </c>
      <c r="HI11" s="437" t="str">
        <f t="shared" ref="HI11" si="4">IF(OR(HH11&lt;0,HH11=""),HH11,CONCATENATE("+",HH11))</f>
        <v>+626,183629</v>
      </c>
      <c r="HL11" s="429">
        <f>LARGE(HL5:HO5,2)</f>
        <v>1602.5446006321108</v>
      </c>
      <c r="HM11" s="429" t="s">
        <v>149</v>
      </c>
      <c r="HN11" s="429" t="e">
        <f>LARGE(HL6:HO6,2)</f>
        <v>#NUM!</v>
      </c>
      <c r="HO11" s="429" t="s">
        <v>153</v>
      </c>
      <c r="HP11" s="429">
        <f>LARGE(HL7:HO7,2)</f>
        <v>1602.5446006321108</v>
      </c>
      <c r="HQ11" s="429" t="s">
        <v>158</v>
      </c>
    </row>
    <row r="12" spans="1:308" ht="17.25" customHeight="1" x14ac:dyDescent="0.35">
      <c r="GJ12" s="442"/>
      <c r="GU12" s="429">
        <v>1</v>
      </c>
      <c r="GV12" s="433">
        <v>2</v>
      </c>
      <c r="GW12" s="433">
        <v>3</v>
      </c>
      <c r="GX12" s="433">
        <v>4</v>
      </c>
      <c r="GY12" s="433">
        <v>5</v>
      </c>
      <c r="GZ12" s="433">
        <v>6</v>
      </c>
      <c r="HA12" s="433">
        <v>7</v>
      </c>
      <c r="HB12" s="433">
        <v>8</v>
      </c>
      <c r="HC12" s="433">
        <v>9</v>
      </c>
      <c r="HD12" s="433">
        <v>10</v>
      </c>
      <c r="HE12" s="433">
        <v>11</v>
      </c>
      <c r="HL12" s="429">
        <f>SMALL(HL5:HO5,1)</f>
        <v>448.79776176859741</v>
      </c>
      <c r="HM12" s="429" t="s">
        <v>150</v>
      </c>
      <c r="HN12" s="429" t="e">
        <f>SMALL(HL6:HO6,1)</f>
        <v>#NUM!</v>
      </c>
      <c r="HO12" s="429" t="s">
        <v>154</v>
      </c>
      <c r="HP12" s="429">
        <f>SMALL(HL7:HO7,1)</f>
        <v>448.79776176859741</v>
      </c>
      <c r="HQ12" s="429" t="s">
        <v>159</v>
      </c>
    </row>
    <row r="13" spans="1:308" ht="17.25" customHeight="1" x14ac:dyDescent="0.35">
      <c r="GJ13" s="429" t="s">
        <v>80</v>
      </c>
      <c r="GK13" s="429" t="s">
        <v>35</v>
      </c>
      <c r="GR13" s="437" t="s">
        <v>36</v>
      </c>
      <c r="GS13" s="437"/>
      <c r="HL13" s="429">
        <f>SMALL(HL5:HO5,2)</f>
        <v>581.0933990939011</v>
      </c>
      <c r="HM13" s="429" t="s">
        <v>151</v>
      </c>
      <c r="HN13" s="429" t="e">
        <f>SMALL(HL6:HO6,2)</f>
        <v>#NUM!</v>
      </c>
      <c r="HO13" s="429" t="s">
        <v>155</v>
      </c>
      <c r="HP13" s="429">
        <f>SMALL(HL7:HO7,2)</f>
        <v>581.0933990939011</v>
      </c>
      <c r="HQ13" s="429" t="s">
        <v>160</v>
      </c>
    </row>
    <row r="14" spans="1:308" ht="17.25" customHeight="1" x14ac:dyDescent="0.35">
      <c r="GJ14" s="443" t="s">
        <v>58</v>
      </c>
      <c r="GK14" s="444" t="str">
        <f>CONCATENATE(GS15,'!!'!D18,"/",'!'!GP$4,GS16)</f>
        <v>y (Modell) [MWh/Month]</v>
      </c>
      <c r="GL14" s="445" t="e">
        <f>CONCATENATE($GR$15,'!!'!#REF!,$GS$16,"                                ",$GR$17,'!!'!I18,$GS$16)</f>
        <v>#REF!</v>
      </c>
      <c r="GM14" s="445" t="str">
        <f>CONCATENATE($GR$15,'!!'!J18,$GS$16,"                                ",$GR$17,'!!'!K18,$GS$16)</f>
        <v>y (Baseline Anteil) []                                x (Messung) [Kd]</v>
      </c>
      <c r="GN14" s="445" t="str">
        <f>CONCATENATE($GR$15,'!!'!L18,$GS$16,"                                ",$GR$17,'!!'!M18,$GS$16)</f>
        <v>y (Baseline Anteil) []                                x (Messung) [Days]</v>
      </c>
      <c r="GO14" s="445" t="str">
        <f>CONCATENATE($GR$15,'!!'!N18,$GS$16,"                                ",$GR$17,'!!'!O18,$GS$16)</f>
        <v>y (Baseline Anteil) []                                x (Messung) []</v>
      </c>
      <c r="GP14" s="445" t="str">
        <f>CONCATENATE($GR$15,'!!'!Q$18,GS18,GS17,$GS$16)</f>
        <v>y (Baseline Anteil) [MWh/Month]</v>
      </c>
      <c r="GQ14" s="445"/>
      <c r="GR14" s="437" t="s">
        <v>34</v>
      </c>
      <c r="GS14" s="437" t="str">
        <f>CONCATENATE("y (",'Translation Table (internal)'!A85,") [")</f>
        <v>y (Measurement) [</v>
      </c>
      <c r="GU14" s="446" t="s">
        <v>31</v>
      </c>
      <c r="GW14" s="447">
        <f>IF(Reference!E19='!'!$HD4,2,IF(Reference!E19='!'!$HD5,1/2,1))</f>
        <v>1</v>
      </c>
      <c r="GY14" s="447">
        <f>IF(Reference!F19='!'!$HD4,2,IF(Reference!F19='!'!$HD5,1/2,1))</f>
        <v>1</v>
      </c>
      <c r="HA14" s="447">
        <f>IF(Reference!G19='!'!$HD4,2,IF(Reference!G19='!'!$HD5,1/2,1))</f>
        <v>1</v>
      </c>
      <c r="HC14" s="447">
        <f>IF(Reference!H19='!'!$HD4,2,IF(Reference!H19='!'!$HD5,1/2,1))</f>
        <v>1</v>
      </c>
    </row>
    <row r="15" spans="1:308" ht="17.25" customHeight="1" x14ac:dyDescent="0.35">
      <c r="GJ15" s="439" t="s">
        <v>100</v>
      </c>
      <c r="GK15" s="448" t="str">
        <f>CONCATENATE(GS14,'!!'!D18,"/",'!'!GP$4,GS16)</f>
        <v>y (Measurement) [MWh/Month]</v>
      </c>
      <c r="GL15" s="445" t="e">
        <f>CONCATENATE($GR$14,'!!'!#REF!,$GS$16,"                                ",$GR$17,'!!'!I18,$GS$16)</f>
        <v>#REF!</v>
      </c>
      <c r="GM15" s="445" t="str">
        <f>CONCATENATE($GR$14,'!!'!J18,$GS$16,"                                ",$GR$17,'!!'!K18,$GS$16)</f>
        <v>y (Messung Anteil.sim) []                                x (Messung) [Kd]</v>
      </c>
      <c r="GN15" s="445" t="str">
        <f>CONCATENATE($GR$14,'!!'!L18,$GS$16,"                                ",$GR$17,'!!'!M18,$GS$16)</f>
        <v>y (Messung Anteil.sim) []                                x (Messung) [Days]</v>
      </c>
      <c r="GO15" s="445" t="str">
        <f>CONCATENATE($GR$14,'!!'!N18,$GS$16,"                                ",$GR$17,'!!'!O18,$GS$16)</f>
        <v>y (Messung Anteil.sim) []                                x (Messung) []</v>
      </c>
      <c r="GP15" s="445" t="str">
        <f>CONCATENATE($GR$14,'!!'!Q$18,GS18,GS17,$GS$16)</f>
        <v>y (Messung Anteil.sim) [MWh/Month]</v>
      </c>
      <c r="GQ15" s="445"/>
      <c r="GR15" s="437" t="s">
        <v>123</v>
      </c>
      <c r="GS15" s="437" t="str">
        <f>CONCATENATE("y (",'Translation Table (internal)'!A84,") [")</f>
        <v>y (Modell) [</v>
      </c>
      <c r="GU15" s="449" t="s">
        <v>5</v>
      </c>
      <c r="GV15" s="447">
        <v>1</v>
      </c>
      <c r="GW15" s="433">
        <v>0</v>
      </c>
      <c r="GX15" s="447">
        <f>IF(HB9=$HB3,1,0)</f>
        <v>1</v>
      </c>
      <c r="GY15" s="433">
        <v>0</v>
      </c>
      <c r="GZ15" s="447">
        <f>IF(HC9=$HB3,1,0)</f>
        <v>1</v>
      </c>
      <c r="HA15" s="433">
        <v>0</v>
      </c>
      <c r="HB15" s="447">
        <f>IF(HD9=$HB3,1,0)</f>
        <v>1</v>
      </c>
      <c r="HC15" s="433">
        <v>0</v>
      </c>
      <c r="HD15" s="447">
        <f>IF(HE9=$HB3,1,0)</f>
        <v>0</v>
      </c>
      <c r="HJ15" s="429">
        <f>COUNTIF(HM25:HM390,Reference!$I$29)</f>
        <v>12</v>
      </c>
    </row>
    <row r="16" spans="1:308" ht="17.25" customHeight="1" x14ac:dyDescent="0.35">
      <c r="GK16" s="450" t="str">
        <f>CONCATENATE(GJ24,GR16,'!!'!D18,GS16)</f>
        <v>CUSUM as Cumulated Sum of Changes in Energy Consumption[MWh]</v>
      </c>
      <c r="GL16" s="445"/>
      <c r="GM16" s="445"/>
      <c r="GN16" s="445"/>
      <c r="GO16" s="451"/>
      <c r="GP16" s="451"/>
      <c r="GQ16" s="451"/>
      <c r="GR16" s="437" t="s">
        <v>40</v>
      </c>
      <c r="GS16" s="437" t="s">
        <v>33</v>
      </c>
      <c r="GT16" s="431"/>
      <c r="GV16" s="433" t="str">
        <f>Reference!D21</f>
        <v>Gas Consumtion</v>
      </c>
      <c r="GW16" s="433" t="str">
        <f>IF(OR(GW15=0,GW14=1),"",CONCATENATE(Reference!E21,'!'!HB10))</f>
        <v/>
      </c>
      <c r="GX16" s="433" t="str">
        <f>IF(GX15=0,"",Reference!E21)</f>
        <v>Production</v>
      </c>
      <c r="GY16" s="447" t="str">
        <f>IF(OR(GY15=0,GY14=1),"",CONCATENATE(Reference!F21,'!'!HC10))</f>
        <v/>
      </c>
      <c r="GZ16" s="433" t="str">
        <f>IF(GZ15=0,"",Reference!F21)</f>
        <v>Heating degree Days</v>
      </c>
      <c r="HA16" s="433" t="str">
        <f>IF(OR(HA15=0,HA14=1),"",CONCATENATE(Reference!G21,'!'!HD10))</f>
        <v/>
      </c>
      <c r="HB16" s="433" t="str">
        <f>IF(HB15=0,"",Reference!G21)</f>
        <v>Days since last external Maintenance</v>
      </c>
      <c r="HC16" s="433" t="str">
        <f>IF(OR(HC15=0,HC14=1),"",CONCATENATE(Reference!H21,'!'!HE10))</f>
        <v/>
      </c>
      <c r="HD16" s="433" t="str">
        <f>IF(HD15=0,"",Reference!H21)</f>
        <v/>
      </c>
      <c r="HG16" s="429" t="s">
        <v>128</v>
      </c>
      <c r="HH16" s="429" t="s">
        <v>109</v>
      </c>
      <c r="HO16" s="430"/>
      <c r="HQ16" s="452"/>
      <c r="HT16" s="453"/>
    </row>
    <row r="17" spans="189:239" ht="17.25" customHeight="1" x14ac:dyDescent="0.35">
      <c r="GK17" s="451"/>
      <c r="GL17" s="445"/>
      <c r="GM17" s="445"/>
      <c r="GN17" s="445"/>
      <c r="GO17" s="451"/>
      <c r="GP17" s="451"/>
      <c r="GQ17" s="451"/>
      <c r="GR17" s="429" t="s">
        <v>42</v>
      </c>
      <c r="GS17" s="429" t="str">
        <f>'!'!GP4</f>
        <v>Month</v>
      </c>
      <c r="GT17" s="431"/>
      <c r="GU17" s="429">
        <v>1</v>
      </c>
      <c r="GV17" s="429">
        <v>2</v>
      </c>
      <c r="GW17" s="429">
        <v>3</v>
      </c>
      <c r="GX17" s="429">
        <v>4</v>
      </c>
      <c r="GY17" s="429">
        <v>5</v>
      </c>
      <c r="GZ17" s="429">
        <v>6</v>
      </c>
      <c r="HA17" s="429">
        <v>7</v>
      </c>
      <c r="HB17" s="429">
        <v>8</v>
      </c>
      <c r="HC17" s="429">
        <v>9</v>
      </c>
      <c r="HD17" s="429">
        <v>10</v>
      </c>
      <c r="HE17" s="429">
        <v>11</v>
      </c>
      <c r="HG17" s="429">
        <f>AVERAGEIF($HM$25:$HM$390,Reference!$I$29,'!'!$GV$25:$GV$390)</f>
        <v>7619.8166666666666</v>
      </c>
      <c r="HH17" s="429">
        <f>SUMIF('!'!$HM$25:$HM$390,Reference!I12,'!'!$HH$25:$HH$390)/COUNTIF('!'!$HM$25:$HM$390,Reference!I12)</f>
        <v>0</v>
      </c>
      <c r="HT17" s="453"/>
    </row>
    <row r="18" spans="189:239" ht="17.25" customHeight="1" x14ac:dyDescent="0.35">
      <c r="GS18" s="429" t="s">
        <v>41</v>
      </c>
      <c r="GT18" s="431"/>
      <c r="GU18" s="449"/>
      <c r="GV18" s="433" t="s">
        <v>48</v>
      </c>
      <c r="GW18" s="440" t="str">
        <f t="shared" ref="GW18:HD18" si="5">IFERROR(GW12*GW15/GW15,"n.a.")</f>
        <v>n.a.</v>
      </c>
      <c r="GX18" s="440">
        <f t="shared" si="5"/>
        <v>4</v>
      </c>
      <c r="GY18" s="440" t="str">
        <f t="shared" si="5"/>
        <v>n.a.</v>
      </c>
      <c r="GZ18" s="440">
        <f t="shared" si="5"/>
        <v>6</v>
      </c>
      <c r="HA18" s="440" t="str">
        <f t="shared" si="5"/>
        <v>n.a.</v>
      </c>
      <c r="HB18" s="440">
        <f t="shared" si="5"/>
        <v>8</v>
      </c>
      <c r="HC18" s="440" t="str">
        <f t="shared" si="5"/>
        <v>n.a.</v>
      </c>
      <c r="HD18" s="440" t="str">
        <f t="shared" si="5"/>
        <v>n.a.</v>
      </c>
      <c r="HG18" s="429" t="s">
        <v>110</v>
      </c>
      <c r="HH18" s="429" t="s">
        <v>113</v>
      </c>
      <c r="HI18" s="429" t="s">
        <v>129</v>
      </c>
      <c r="HJ18" s="429" t="s">
        <v>164</v>
      </c>
      <c r="HM18" s="438"/>
      <c r="HR18" s="454"/>
      <c r="HT18" s="453"/>
    </row>
    <row r="19" spans="189:239" ht="17.25" customHeight="1" x14ac:dyDescent="0.35">
      <c r="GT19" s="431"/>
      <c r="GU19" s="432" t="s">
        <v>44</v>
      </c>
      <c r="GV19" s="429" t="str">
        <f t="shared" ref="GV19:HD19" si="6">GV16</f>
        <v>Gas Consumtion</v>
      </c>
      <c r="GW19" s="429" t="str">
        <f t="shared" si="6"/>
        <v/>
      </c>
      <c r="GX19" s="429" t="str">
        <f t="shared" si="6"/>
        <v>Production</v>
      </c>
      <c r="GY19" s="429" t="str">
        <f t="shared" si="6"/>
        <v/>
      </c>
      <c r="GZ19" s="429" t="str">
        <f t="shared" si="6"/>
        <v>Heating degree Days</v>
      </c>
      <c r="HA19" s="429" t="str">
        <f t="shared" si="6"/>
        <v/>
      </c>
      <c r="HB19" s="429" t="str">
        <f t="shared" si="6"/>
        <v>Days since last external Maintenance</v>
      </c>
      <c r="HC19" s="429" t="str">
        <f t="shared" si="6"/>
        <v/>
      </c>
      <c r="HD19" s="429" t="str">
        <f t="shared" si="6"/>
        <v/>
      </c>
      <c r="HG19" s="429">
        <f>SUMIF('!'!$HM$25:$HM$390,Reference!I12,'!'!$HG$25:$HG$390)/COUNTIF('!'!$HM$25:$HM$390,Reference!I12)</f>
        <v>2.4187286931141652E-2</v>
      </c>
      <c r="HH19" s="455">
        <f>Baseline!J13*100</f>
        <v>0</v>
      </c>
      <c r="HI19" s="429">
        <f>((HI23/COUNTIF(HM25:HM390,Reference!$I$29))^(1/2))/HG17</f>
        <v>3.011713138049818E-2</v>
      </c>
      <c r="HJ19" s="429">
        <f>HJ23/HK23</f>
        <v>0.96801564600525203</v>
      </c>
      <c r="HM19" s="438"/>
      <c r="HP19" s="433"/>
      <c r="HT19" s="453"/>
    </row>
    <row r="20" spans="189:239" ht="17.25" customHeight="1" x14ac:dyDescent="0.35">
      <c r="GT20" s="431"/>
      <c r="GV20" s="429" t="s">
        <v>49</v>
      </c>
      <c r="GW20" s="429">
        <v>1</v>
      </c>
      <c r="GX20" s="429">
        <v>2</v>
      </c>
      <c r="GY20" s="429">
        <v>3</v>
      </c>
      <c r="GZ20" s="429">
        <v>4</v>
      </c>
      <c r="HA20" s="429">
        <v>5</v>
      </c>
      <c r="HB20" s="429">
        <v>6</v>
      </c>
      <c r="HC20" s="429">
        <v>7</v>
      </c>
      <c r="HD20" s="429">
        <v>8</v>
      </c>
      <c r="HF20" s="429" t="s">
        <v>112</v>
      </c>
      <c r="HI20" s="429" t="s">
        <v>165</v>
      </c>
      <c r="HJ20" s="429" t="s">
        <v>166</v>
      </c>
      <c r="HK20" s="429" t="s">
        <v>167</v>
      </c>
      <c r="HT20" s="453"/>
    </row>
    <row r="21" spans="189:239" ht="17.25" customHeight="1" x14ac:dyDescent="0.35">
      <c r="GK21" s="429">
        <v>1</v>
      </c>
      <c r="GL21" s="429">
        <v>2</v>
      </c>
      <c r="GM21" s="429">
        <v>3</v>
      </c>
      <c r="GN21" s="429">
        <v>4</v>
      </c>
      <c r="GO21" s="429">
        <v>5</v>
      </c>
      <c r="GP21" s="429">
        <v>6</v>
      </c>
      <c r="GQ21" s="429">
        <v>7</v>
      </c>
      <c r="GR21" s="429">
        <v>8</v>
      </c>
      <c r="GS21" s="429">
        <v>9</v>
      </c>
      <c r="GT21" s="429">
        <v>10</v>
      </c>
      <c r="GU21" s="429">
        <v>11</v>
      </c>
      <c r="GV21" s="429" t="s">
        <v>47</v>
      </c>
      <c r="GW21" s="429">
        <f t="shared" ref="GW21:HD21" si="7">IFERROR(SMALL($GW$18:$HD$18,GW20),"n.a.")</f>
        <v>4</v>
      </c>
      <c r="GX21" s="429">
        <f t="shared" si="7"/>
        <v>6</v>
      </c>
      <c r="GY21" s="429">
        <f t="shared" si="7"/>
        <v>8</v>
      </c>
      <c r="GZ21" s="429" t="str">
        <f t="shared" si="7"/>
        <v>n.a.</v>
      </c>
      <c r="HA21" s="429" t="str">
        <f t="shared" si="7"/>
        <v>n.a.</v>
      </c>
      <c r="HB21" s="429" t="str">
        <f t="shared" si="7"/>
        <v>n.a.</v>
      </c>
      <c r="HC21" s="429" t="str">
        <f t="shared" si="7"/>
        <v>n.a.</v>
      </c>
      <c r="HD21" s="429" t="str">
        <f t="shared" si="7"/>
        <v>n.a.</v>
      </c>
      <c r="HF21" s="429" t="s">
        <v>111</v>
      </c>
      <c r="HG21" s="429" t="s">
        <v>126</v>
      </c>
      <c r="HH21" s="433" t="s">
        <v>113</v>
      </c>
      <c r="HI21" s="429" t="s">
        <v>127</v>
      </c>
      <c r="HJ21" s="429" t="s">
        <v>161</v>
      </c>
      <c r="HK21" s="429" t="s">
        <v>162</v>
      </c>
      <c r="HL21" s="429" t="s">
        <v>174</v>
      </c>
      <c r="HM21" s="429" t="s">
        <v>114</v>
      </c>
      <c r="HO21" s="453"/>
      <c r="HP21" s="453"/>
      <c r="HQ21" s="456"/>
      <c r="HR21" s="453"/>
      <c r="HS21" s="453"/>
      <c r="HT21" s="453"/>
      <c r="HZ21" s="457"/>
      <c r="IA21" s="458"/>
      <c r="IC21" s="459"/>
    </row>
    <row r="22" spans="189:239" ht="17.25" customHeight="1" x14ac:dyDescent="0.35">
      <c r="GV22" s="439" t="s">
        <v>75</v>
      </c>
      <c r="GW22" s="429">
        <f t="shared" ref="GW22:HD22" si="8">VLOOKUP(GW24,$GW2:$GY9,$GY10,FALSE)</f>
        <v>3</v>
      </c>
      <c r="GX22" s="429">
        <f t="shared" si="8"/>
        <v>4</v>
      </c>
      <c r="GY22" s="429">
        <f t="shared" si="8"/>
        <v>5</v>
      </c>
      <c r="GZ22" s="429" t="e">
        <f t="shared" si="8"/>
        <v>#N/A</v>
      </c>
      <c r="HA22" s="429" t="e">
        <f t="shared" si="8"/>
        <v>#N/A</v>
      </c>
      <c r="HB22" s="429" t="e">
        <f t="shared" si="8"/>
        <v>#N/A</v>
      </c>
      <c r="HC22" s="429" t="e">
        <f t="shared" si="8"/>
        <v>#N/A</v>
      </c>
      <c r="HD22" s="429" t="e">
        <f t="shared" si="8"/>
        <v>#N/A</v>
      </c>
      <c r="HI22" s="429" t="s">
        <v>163</v>
      </c>
      <c r="HJ22" s="429" t="s">
        <v>163</v>
      </c>
      <c r="HK22" s="429" t="s">
        <v>163</v>
      </c>
      <c r="HO22" s="453"/>
      <c r="HP22" s="453"/>
      <c r="HQ22" s="456"/>
      <c r="HR22" s="453"/>
      <c r="HS22" s="453"/>
      <c r="HT22" s="453"/>
    </row>
    <row r="23" spans="189:239" ht="17.25" customHeight="1" x14ac:dyDescent="0.35">
      <c r="GJ23" s="439" t="s">
        <v>81</v>
      </c>
      <c r="GK23" s="451"/>
      <c r="GL23" s="451"/>
      <c r="GM23" s="451"/>
      <c r="GN23" s="451"/>
      <c r="GO23" s="451"/>
      <c r="GP23" s="451"/>
      <c r="GQ23" s="451"/>
      <c r="GR23" s="451"/>
      <c r="GS23" s="451"/>
      <c r="GT23" s="460" t="s">
        <v>50</v>
      </c>
      <c r="GU23" s="432" t="s">
        <v>38</v>
      </c>
      <c r="GV23" s="429" t="s">
        <v>45</v>
      </c>
      <c r="GW23" s="429">
        <f>VLOOKUP(GW24,$GW2:$GY9,$GX10,FALSE)</f>
        <v>1</v>
      </c>
      <c r="GX23" s="429">
        <f>VLOOKUP(GX24,$GW2:$GY9,$GX10,FALSE)</f>
        <v>1</v>
      </c>
      <c r="GY23" s="429">
        <f t="shared" ref="GY23:HD23" si="9">VLOOKUP(GY24,$GW2:$GY9,$GX10,FALSE)</f>
        <v>1</v>
      </c>
      <c r="GZ23" s="429" t="e">
        <f t="shared" si="9"/>
        <v>#N/A</v>
      </c>
      <c r="HA23" s="429" t="e">
        <f t="shared" si="9"/>
        <v>#N/A</v>
      </c>
      <c r="HB23" s="429" t="e">
        <f t="shared" si="9"/>
        <v>#N/A</v>
      </c>
      <c r="HC23" s="429" t="e">
        <f t="shared" si="9"/>
        <v>#N/A</v>
      </c>
      <c r="HD23" s="429" t="e">
        <f t="shared" si="9"/>
        <v>#N/A</v>
      </c>
      <c r="HI23" s="429">
        <f>SUMIF($HM25:$HM390,Reference!$I$29,HI25:HI390)</f>
        <v>631971.50622824114</v>
      </c>
      <c r="HJ23" s="429">
        <f>SUMIF($HM25:$HM390,Reference!$I$29,HJ25:HJ390)</f>
        <v>19126798.870438419</v>
      </c>
      <c r="HK23" s="429">
        <f>SUMIF($HM25:$HM390,Reference!$I$29,HK25:HK390)</f>
        <v>19758770.376666665</v>
      </c>
      <c r="HP23" s="453"/>
      <c r="HQ23" s="453"/>
      <c r="HR23" s="453"/>
      <c r="HS23" s="453"/>
      <c r="HT23" s="453"/>
    </row>
    <row r="24" spans="189:239" ht="17.25" customHeight="1" x14ac:dyDescent="0.35">
      <c r="GJ24" s="429" t="str">
        <f>IF(Report!$D$4=HE3,HF4,HF3)</f>
        <v>CUSUM as Cumulated Sum of Changes in Energy Consumption</v>
      </c>
      <c r="GK24" s="429" t="str">
        <f>'Translation Table (internal)'!A86</f>
        <v>Difference</v>
      </c>
      <c r="GL24" s="429" t="s">
        <v>51</v>
      </c>
      <c r="GM24" s="429" t="s">
        <v>82</v>
      </c>
      <c r="GN24" s="429" t="s">
        <v>86</v>
      </c>
      <c r="GO24" s="429" t="s">
        <v>85</v>
      </c>
      <c r="GP24" s="429" t="s">
        <v>84</v>
      </c>
      <c r="GQ24" s="429" t="s">
        <v>83</v>
      </c>
      <c r="GR24" s="437" t="s">
        <v>37</v>
      </c>
      <c r="GU24" s="432" t="str">
        <f>GU19</f>
        <v>VAR</v>
      </c>
      <c r="GV24" s="429" t="str">
        <f>Reference!D21</f>
        <v>Gas Consumtion</v>
      </c>
      <c r="GW24" s="440" t="str">
        <f t="shared" ref="GW24:GZ24" si="10">IFERROR(VLOOKUP($GU24,$GU19:$HD19,GW$21,FALSE),0)</f>
        <v>Production</v>
      </c>
      <c r="GX24" s="440" t="str">
        <f t="shared" si="10"/>
        <v>Heating degree Days</v>
      </c>
      <c r="GY24" s="440" t="str">
        <f t="shared" si="10"/>
        <v>Days since last external Maintenance</v>
      </c>
      <c r="GZ24" s="440">
        <f t="shared" si="10"/>
        <v>0</v>
      </c>
      <c r="HA24" s="440"/>
      <c r="HB24" s="440"/>
      <c r="HC24" s="440"/>
      <c r="HD24" s="440"/>
      <c r="HE24" s="429">
        <f>ROW(HE24)</f>
        <v>24</v>
      </c>
      <c r="HP24" s="453"/>
      <c r="HQ24" s="453"/>
      <c r="HR24" s="453"/>
      <c r="HS24" s="461"/>
      <c r="HT24" s="462"/>
      <c r="HZ24" s="463"/>
      <c r="IA24" s="464"/>
      <c r="IB24" s="459"/>
      <c r="IE24" s="458"/>
    </row>
    <row r="25" spans="189:239" ht="17.25" customHeight="1" x14ac:dyDescent="0.35">
      <c r="GG25" s="432"/>
      <c r="GJ25" s="429">
        <f>IF(GK25=$GJ$15,$GJ$15,IF(GJ$24=HF$4,SUM(GK$25:GK25),SUM(GL$25:GL25)))</f>
        <v>193.30203350164993</v>
      </c>
      <c r="GK25" s="438">
        <f>IFERROR('!!'!G25-'!!'!D25,$GJ$15)</f>
        <v>193.30203350164993</v>
      </c>
      <c r="GL25" s="429">
        <f>IFERROR(GK25^2^(1/2),"N")</f>
        <v>193.30203350164993</v>
      </c>
      <c r="GM25" s="438">
        <f>IFERROR(('!!'!$D25)*('!!'!W25/('!!'!$G25)),0)</f>
        <v>4492.2281062970378</v>
      </c>
      <c r="GN25" s="438">
        <f>IFERROR(('!!'!$D25)*('!!'!X25/('!!'!$G25)),0)</f>
        <v>3255.9871872323251</v>
      </c>
      <c r="GO25" s="438">
        <f>IFERROR(('!!'!$D25)*('!!'!Y25/('!!'!$G25)),0)</f>
        <v>282.29940632082111</v>
      </c>
      <c r="GP25" s="438">
        <f>IFERROR(('!!'!$D25)*('!!'!Z24/('!!'!$G25)),0)</f>
        <v>0</v>
      </c>
      <c r="GQ25" s="438">
        <f>IFERROR(('!!'!$D25)*('!!'!Q25/('!!'!$G25)),0)</f>
        <v>612.48530014981679</v>
      </c>
      <c r="GR25" s="429">
        <v>1</v>
      </c>
      <c r="GS25" s="429">
        <v>2</v>
      </c>
      <c r="GT25" s="432">
        <f>Monitoring!C25</f>
        <v>43101</v>
      </c>
      <c r="GU25" s="432">
        <f>Reference!$C25</f>
        <v>42736</v>
      </c>
      <c r="GV25" s="429">
        <f>Reference!$D25</f>
        <v>7484.3</v>
      </c>
      <c r="GW25" s="440">
        <f t="shared" ref="GW25:GZ34" si="11">IFERROR(VLOOKUP($GU25,Daten.B,GW$22,FALSE)^GW$23,0)</f>
        <v>94</v>
      </c>
      <c r="GX25" s="440">
        <f t="shared" si="11"/>
        <v>550</v>
      </c>
      <c r="GY25" s="440">
        <f t="shared" si="11"/>
        <v>15</v>
      </c>
      <c r="GZ25" s="440">
        <f t="shared" si="11"/>
        <v>0</v>
      </c>
      <c r="HA25" s="440"/>
      <c r="HB25" s="440"/>
      <c r="HC25" s="440"/>
      <c r="HD25" s="440"/>
      <c r="HE25" s="429">
        <f>ROW(HE25)-$HE$24</f>
        <v>1</v>
      </c>
      <c r="HF25" s="429">
        <f>SUM(GW25*Baseline!$P$24,GX25*Baseline!$P$25,GY25*Baseline!$P$26,GZ25*Baseline!$P$27,HA25*Baseline!$P$28,HB25*Baseline!$P$29,HC25*Baseline!$P$30,HD25*Baseline!$P$31,Baseline!$P$23)</f>
        <v>7458.6160714808584</v>
      </c>
      <c r="HG25" s="455">
        <f>IF(HF25=0,#N/A,ABS((GV25-HF25)/GV25))</f>
        <v>3.4317075102737425E-3</v>
      </c>
      <c r="HH25" s="429">
        <f>IF(HG25&lt;=Baseline!$J$13,1,0)</f>
        <v>0</v>
      </c>
      <c r="HI25" s="429">
        <f>(GV25-HF25)^2</f>
        <v>659.66418417638408</v>
      </c>
      <c r="HJ25" s="429">
        <f>(HF25-$HG$17)^2</f>
        <v>25985.631888258809</v>
      </c>
      <c r="HK25" s="429">
        <f>(GV25-$HG$17)^2</f>
        <v>18364.766944444378</v>
      </c>
      <c r="HL25" s="429">
        <f>IF(HM25=Reference!$I$12,(HF25-GV25),"")</f>
        <v>-25.683928519141773</v>
      </c>
      <c r="HM25" s="429" t="str">
        <f>Reference!I25</f>
        <v>BA</v>
      </c>
      <c r="HO25" s="453"/>
      <c r="HP25" s="453"/>
      <c r="HQ25" s="453"/>
      <c r="HR25" s="453"/>
      <c r="HS25" s="465"/>
      <c r="HT25" s="453"/>
      <c r="HZ25" s="463"/>
      <c r="IA25" s="464"/>
      <c r="IB25" s="459"/>
      <c r="IE25" s="458"/>
    </row>
    <row r="26" spans="189:239" ht="17.25" customHeight="1" x14ac:dyDescent="0.35">
      <c r="GG26" s="432"/>
      <c r="GJ26" s="429">
        <f>IF(GK26=$GJ$15,$GJ$15,IF(GJ$24=HF$4,SUM(GK$25:GK26),SUM(GL$25:GL26)))</f>
        <v>268.50989072316406</v>
      </c>
      <c r="GK26" s="438">
        <f>IFERROR('!!'!G26-'!!'!D26,$GJ$15)</f>
        <v>75.207857221514132</v>
      </c>
      <c r="GL26" s="429">
        <f t="shared" ref="GL26:GL89" si="12">IFERROR(GK26^2^(1/2),"N")</f>
        <v>75.207857221514132</v>
      </c>
      <c r="GM26" s="438">
        <f>IFERROR(('!!'!$D26)*('!!'!W26/('!!'!$G26)),0)</f>
        <v>6592.8887950673934</v>
      </c>
      <c r="GN26" s="438">
        <f>IFERROR(('!!'!$D26)*('!!'!X26/('!!'!$G26)),0)</f>
        <v>2945.201888630208</v>
      </c>
      <c r="GO26" s="438">
        <f>IFERROR(('!!'!$D26)*('!!'!Y26/('!!'!$G26)),0)</f>
        <v>859.97021633065663</v>
      </c>
      <c r="GP26" s="438">
        <f>IFERROR(('!!'!$D26)*('!!'!Z25/('!!'!$G26)),0)</f>
        <v>0</v>
      </c>
      <c r="GQ26" s="438">
        <f>IFERROR(('!!'!$D26)*('!!'!Q26/('!!'!$G26)),0)</f>
        <v>621.93909997174114</v>
      </c>
      <c r="GR26" s="429">
        <v>1</v>
      </c>
      <c r="GS26" s="429">
        <v>2</v>
      </c>
      <c r="GT26" s="432">
        <f>Monitoring!C26</f>
        <v>43132</v>
      </c>
      <c r="GU26" s="432">
        <f>Reference!$C26</f>
        <v>42767</v>
      </c>
      <c r="GV26" s="429">
        <f>Reference!$D26</f>
        <v>7249.3</v>
      </c>
      <c r="GW26" s="440">
        <f t="shared" si="11"/>
        <v>99</v>
      </c>
      <c r="GX26" s="440">
        <f t="shared" si="11"/>
        <v>450</v>
      </c>
      <c r="GY26" s="440">
        <f t="shared" si="11"/>
        <v>45</v>
      </c>
      <c r="GZ26" s="440">
        <f t="shared" si="11"/>
        <v>0</v>
      </c>
      <c r="HA26" s="440"/>
      <c r="HB26" s="440"/>
      <c r="HC26" s="440"/>
      <c r="HD26" s="440"/>
      <c r="HE26" s="429">
        <f t="shared" ref="HE26:HE89" si="13">ROW(HE26)-$HE$24</f>
        <v>2</v>
      </c>
      <c r="HF26" s="429">
        <f>SUM(GW26*Baseline!$P$24,GX26*Baseline!$P$25,GY26*Baseline!$P$26,GZ26*Baseline!$P$27,HA26*Baseline!$P$28,HB26*Baseline!$P$29,HC26*Baseline!$P$30,HD26*Baseline!$P$31,Baseline!$P$23)</f>
        <v>7638.6886236436803</v>
      </c>
      <c r="HG26" s="455">
        <f t="shared" ref="HG26:HG89" si="14">IF(HF26=0,#N/A,ABS((GV26-HF26)/GV26))</f>
        <v>5.3713961850617317E-2</v>
      </c>
      <c r="HH26" s="429">
        <f>IF(HG26&lt;=Baseline!$J$13,1,0)</f>
        <v>0</v>
      </c>
      <c r="HI26" s="429">
        <f t="shared" ref="HI26:HI89" si="15">(GV26-HF26)^2</f>
        <v>151623.50022311957</v>
      </c>
      <c r="HJ26" s="429">
        <f t="shared" ref="HJ26:HJ88" si="16">(HF26-$HG$17)^2</f>
        <v>356.15076014225696</v>
      </c>
      <c r="HK26" s="429">
        <f t="shared" ref="HK26:HK88" si="17">(GV26-$HG$17)^2</f>
        <v>137282.60027777759</v>
      </c>
      <c r="HL26" s="429">
        <f>IF(HM26=Reference!$I$12,(HF26-GV26),"")</f>
        <v>389.38862364368015</v>
      </c>
      <c r="HM26" s="429" t="str">
        <f>Reference!I26</f>
        <v>BA</v>
      </c>
      <c r="HO26" s="453"/>
      <c r="HP26" s="453"/>
      <c r="HQ26" s="453"/>
      <c r="HR26" s="453"/>
      <c r="HS26" s="465"/>
      <c r="HT26" s="453"/>
      <c r="HZ26" s="463"/>
      <c r="IA26" s="464"/>
      <c r="IB26" s="459"/>
      <c r="IE26" s="458"/>
    </row>
    <row r="27" spans="189:239" ht="17.25" customHeight="1" x14ac:dyDescent="0.35">
      <c r="GG27" s="432"/>
      <c r="GJ27" s="429">
        <f>IF(GK27=$GJ$15,$GJ$15,IF(GJ$24=HF$4,SUM(GK$25:GK27),SUM(GL$25:GL27)))</f>
        <v>335.18700365137738</v>
      </c>
      <c r="GK27" s="438">
        <f>IFERROR('!!'!G27-'!!'!D27,$GJ$15)</f>
        <v>66.677112928213319</v>
      </c>
      <c r="GL27" s="429">
        <f t="shared" si="12"/>
        <v>66.677112928213319</v>
      </c>
      <c r="GM27" s="438">
        <f>IFERROR(('!!'!$D27)*('!!'!W27/('!!'!$G27)),0)</f>
        <v>5490.076697391095</v>
      </c>
      <c r="GN27" s="438">
        <f>IFERROR(('!!'!$D27)*('!!'!X27/('!!'!$G27)),0)</f>
        <v>2761.9731690862486</v>
      </c>
      <c r="GO27" s="438">
        <f>IFERROR(('!!'!$D27)*('!!'!Y27/('!!'!$G27)),0)</f>
        <v>1433.7909304171344</v>
      </c>
      <c r="GP27" s="438">
        <f>IFERROR(('!!'!$D27)*('!!'!Z26/('!!'!$G27)),0)</f>
        <v>0</v>
      </c>
      <c r="GQ27" s="438">
        <f>IFERROR(('!!'!$D27)*('!!'!Q27/('!!'!$G27)),0)</f>
        <v>622.15920310552451</v>
      </c>
      <c r="GR27" s="429">
        <v>1</v>
      </c>
      <c r="GS27" s="429">
        <v>2</v>
      </c>
      <c r="GT27" s="432">
        <f>Monitoring!C27</f>
        <v>43160</v>
      </c>
      <c r="GU27" s="432">
        <f>Reference!$C27</f>
        <v>42795</v>
      </c>
      <c r="GV27" s="429">
        <f>Reference!$D27</f>
        <v>7163.5</v>
      </c>
      <c r="GW27" s="440">
        <f t="shared" si="11"/>
        <v>73</v>
      </c>
      <c r="GX27" s="440">
        <f t="shared" si="11"/>
        <v>440</v>
      </c>
      <c r="GY27" s="440">
        <f t="shared" si="11"/>
        <v>75</v>
      </c>
      <c r="GZ27" s="440">
        <f t="shared" si="11"/>
        <v>0</v>
      </c>
      <c r="HA27" s="440"/>
      <c r="HB27" s="440"/>
      <c r="HC27" s="440"/>
      <c r="HD27" s="440"/>
      <c r="HE27" s="429">
        <f t="shared" si="13"/>
        <v>3</v>
      </c>
      <c r="HF27" s="429">
        <f>SUM(GW27*Baseline!$P$24,GX27*Baseline!$P$25,GY27*Baseline!$P$26,GZ27*Baseline!$P$27,HA27*Baseline!$P$28,HB27*Baseline!$P$29,HC27*Baseline!$P$30,HD27*Baseline!$P$31,Baseline!$P$23)</f>
        <v>7225.3675152323649</v>
      </c>
      <c r="HG27" s="455">
        <f t="shared" si="14"/>
        <v>8.6364926687184894E-3</v>
      </c>
      <c r="HH27" s="429">
        <f>IF(HG27&lt;=Baseline!$J$13,1,0)</f>
        <v>0</v>
      </c>
      <c r="HI27" s="429">
        <f t="shared" si="15"/>
        <v>3827.589441026902</v>
      </c>
      <c r="HJ27" s="429">
        <f t="shared" si="16"/>
        <v>155590.13306724068</v>
      </c>
      <c r="HK27" s="429">
        <f t="shared" si="17"/>
        <v>208224.90027777772</v>
      </c>
      <c r="HL27" s="429">
        <f>IF(HM27=Reference!$I$12,(HF27-GV27),"")</f>
        <v>61.867515232364894</v>
      </c>
      <c r="HM27" s="429" t="str">
        <f>Reference!I27</f>
        <v>BA</v>
      </c>
      <c r="HO27" s="453"/>
      <c r="HP27" s="453"/>
      <c r="HQ27" s="453"/>
      <c r="HR27" s="453"/>
      <c r="HS27" s="465"/>
      <c r="HT27" s="453"/>
      <c r="HZ27" s="463"/>
      <c r="IA27" s="464"/>
      <c r="IB27" s="459"/>
      <c r="IE27" s="458"/>
    </row>
    <row r="28" spans="189:239" ht="17.25" customHeight="1" x14ac:dyDescent="0.35">
      <c r="GG28" s="432"/>
      <c r="GJ28" s="429">
        <f>IF(GK28=$GJ$15,$GJ$15,IF(GJ$24=HF$4,SUM(GK$25:GK28),SUM(GL$25:GL28)))</f>
        <v>540.76709090609438</v>
      </c>
      <c r="GK28" s="438">
        <f>IFERROR('!!'!G28-'!!'!D28,$GJ$15)</f>
        <v>205.580087254717</v>
      </c>
      <c r="GL28" s="429">
        <f t="shared" si="12"/>
        <v>205.580087254717</v>
      </c>
      <c r="GM28" s="438">
        <f>IFERROR(('!!'!$D28)*('!!'!W28/('!!'!$G28)),0)</f>
        <v>5142.3787185704678</v>
      </c>
      <c r="GN28" s="438">
        <f>IFERROR(('!!'!$D28)*('!!'!X28/('!!'!$G28)),0)</f>
        <v>1971.726866173957</v>
      </c>
      <c r="GO28" s="438">
        <f>IFERROR(('!!'!$D28)*('!!'!Y28/('!!'!$G28)),0)</f>
        <v>281.38753613774122</v>
      </c>
      <c r="GP28" s="438">
        <f>IFERROR(('!!'!$D28)*('!!'!Z27/('!!'!$G28)),0)</f>
        <v>0</v>
      </c>
      <c r="GQ28" s="438">
        <f>IFERROR(('!!'!$D28)*('!!'!Q28/('!!'!$G28)),0)</f>
        <v>610.50687911783405</v>
      </c>
      <c r="GR28" s="429">
        <v>1</v>
      </c>
      <c r="GS28" s="429">
        <v>2</v>
      </c>
      <c r="GT28" s="432">
        <f>Monitoring!C28</f>
        <v>43191</v>
      </c>
      <c r="GU28" s="432">
        <f>Reference!$C28</f>
        <v>42826</v>
      </c>
      <c r="GV28" s="429">
        <f>Reference!$D28</f>
        <v>5794.5</v>
      </c>
      <c r="GW28" s="440">
        <f t="shared" si="11"/>
        <v>93</v>
      </c>
      <c r="GX28" s="440">
        <f t="shared" si="11"/>
        <v>210</v>
      </c>
      <c r="GY28" s="440">
        <f t="shared" si="11"/>
        <v>15</v>
      </c>
      <c r="GZ28" s="440">
        <f t="shared" si="11"/>
        <v>0</v>
      </c>
      <c r="HA28" s="440"/>
      <c r="HB28" s="440"/>
      <c r="HC28" s="440"/>
      <c r="HD28" s="440"/>
      <c r="HE28" s="429">
        <f t="shared" si="13"/>
        <v>4</v>
      </c>
      <c r="HF28" s="429">
        <f>SUM(GW28*Baseline!$P$24,GX28*Baseline!$P$25,GY28*Baseline!$P$26,GZ28*Baseline!$P$27,HA28*Baseline!$P$28,HB28*Baseline!$P$29,HC28*Baseline!$P$30,HD28*Baseline!$P$31,Baseline!$P$23)</f>
        <v>5462.445746626443</v>
      </c>
      <c r="HG28" s="455">
        <f t="shared" si="14"/>
        <v>5.7305074359057212E-2</v>
      </c>
      <c r="HH28" s="429">
        <f>IF(HG28&lt;=Baseline!$J$13,1,0)</f>
        <v>0</v>
      </c>
      <c r="HI28" s="429">
        <f t="shared" si="15"/>
        <v>110260.02718347039</v>
      </c>
      <c r="HJ28" s="429">
        <f t="shared" si="16"/>
        <v>4654249.2866352005</v>
      </c>
      <c r="HK28" s="429">
        <f t="shared" si="17"/>
        <v>3331780.9336111108</v>
      </c>
      <c r="HL28" s="429">
        <f>IF(HM28=Reference!$I$12,(HF28-GV28),"")</f>
        <v>-332.054253373557</v>
      </c>
      <c r="HM28" s="429" t="str">
        <f>Reference!I28</f>
        <v>BA</v>
      </c>
      <c r="HO28" s="453"/>
      <c r="HP28" s="453"/>
      <c r="HQ28" s="453"/>
      <c r="HR28" s="453"/>
      <c r="HS28" s="465"/>
      <c r="HT28" s="453"/>
      <c r="HZ28" s="463"/>
      <c r="IA28" s="464"/>
      <c r="IB28" s="459"/>
      <c r="IE28" s="458"/>
    </row>
    <row r="29" spans="189:239" ht="17.25" customHeight="1" x14ac:dyDescent="0.35">
      <c r="GG29" s="432"/>
      <c r="GJ29" s="429">
        <f>IF(GK29=$GJ$15,$GJ$15,IF(GJ$24=HF$4,SUM(GK$25:GK29),SUM(GL$25:GL29)))</f>
        <v>706.41269986986845</v>
      </c>
      <c r="GK29" s="438">
        <f>IFERROR('!!'!G29-'!!'!D29,$GJ$15)</f>
        <v>165.64560896377407</v>
      </c>
      <c r="GL29" s="429">
        <f t="shared" si="12"/>
        <v>165.64560896377407</v>
      </c>
      <c r="GM29" s="438">
        <f>IFERROR(('!!'!$D29)*('!!'!W29/('!!'!$G29)),0)</f>
        <v>5342.7037740420237</v>
      </c>
      <c r="GN29" s="438">
        <f>IFERROR(('!!'!$D29)*('!!'!X29/('!!'!$G29)),0)</f>
        <v>1159.6740828931729</v>
      </c>
      <c r="GO29" s="438">
        <f>IFERROR(('!!'!$D29)*('!!'!Y29/('!!'!$G29)),0)</f>
        <v>848.19731999621479</v>
      </c>
      <c r="GP29" s="438">
        <f>IFERROR(('!!'!$D29)*('!!'!Z28/('!!'!$G29)),0)</f>
        <v>0</v>
      </c>
      <c r="GQ29" s="438">
        <f>IFERROR(('!!'!$D29)*('!!'!Q29/('!!'!$G29)),0)</f>
        <v>613.42482306858847</v>
      </c>
      <c r="GR29" s="429">
        <v>1</v>
      </c>
      <c r="GS29" s="429">
        <v>2</v>
      </c>
      <c r="GT29" s="432">
        <f>Monitoring!C29</f>
        <v>43221</v>
      </c>
      <c r="GU29" s="432">
        <f>Reference!$C29</f>
        <v>42856</v>
      </c>
      <c r="GV29" s="429">
        <f>Reference!$D29</f>
        <v>6373.4</v>
      </c>
      <c r="GW29" s="440">
        <f t="shared" si="11"/>
        <v>108</v>
      </c>
      <c r="GX29" s="440">
        <f t="shared" si="11"/>
        <v>205.32173913043476</v>
      </c>
      <c r="GY29" s="440">
        <f t="shared" si="11"/>
        <v>45</v>
      </c>
      <c r="GZ29" s="440">
        <f t="shared" si="11"/>
        <v>0</v>
      </c>
      <c r="HA29" s="440"/>
      <c r="HB29" s="440"/>
      <c r="HC29" s="440"/>
      <c r="HD29" s="440"/>
      <c r="HE29" s="429">
        <f t="shared" si="13"/>
        <v>5</v>
      </c>
      <c r="HF29" s="429">
        <f>SUM(GW29*Baseline!$P$24,GX29*Baseline!$P$25,GY29*Baseline!$P$26,GZ29*Baseline!$P$27,HA29*Baseline!$P$28,HB29*Baseline!$P$29,HC29*Baseline!$P$30,HD29*Baseline!$P$31,Baseline!$P$23)</f>
        <v>6550.9058489814061</v>
      </c>
      <c r="HG29" s="455">
        <f t="shared" si="14"/>
        <v>2.7851044808329374E-2</v>
      </c>
      <c r="HH29" s="429">
        <f>IF(HG29&lt;=Baseline!$J$13,1,0)</f>
        <v>0</v>
      </c>
      <c r="HI29" s="429">
        <f t="shared" si="15"/>
        <v>31508.326422609862</v>
      </c>
      <c r="HJ29" s="429">
        <f t="shared" si="16"/>
        <v>1142570.3361645723</v>
      </c>
      <c r="HK29" s="429">
        <f t="shared" si="17"/>
        <v>1553554.5069444452</v>
      </c>
      <c r="HL29" s="429">
        <f>IF(HM29=Reference!$I$12,(HF29-GV29),"")</f>
        <v>177.50584898140642</v>
      </c>
      <c r="HM29" s="429" t="str">
        <f>Reference!I29</f>
        <v>BA</v>
      </c>
      <c r="HO29" s="453"/>
      <c r="HP29" s="453"/>
      <c r="HQ29" s="453"/>
      <c r="HR29" s="453"/>
      <c r="HS29" s="465"/>
      <c r="HT29" s="453"/>
      <c r="HZ29" s="463"/>
      <c r="IA29" s="464"/>
      <c r="IB29" s="459"/>
      <c r="IE29" s="458"/>
    </row>
    <row r="30" spans="189:239" ht="17.25" customHeight="1" x14ac:dyDescent="0.35">
      <c r="GG30" s="432"/>
      <c r="GJ30" s="429">
        <f>IF(GK30=$GJ$15,$GJ$15,IF(GJ$24=HF$4,SUM(GK$25:GK30),SUM(GL$25:GL30)))</f>
        <v>1116.4632712888979</v>
      </c>
      <c r="GK30" s="438">
        <f>IFERROR('!!'!G30-'!!'!D30,$GJ$15)</f>
        <v>410.05057141902944</v>
      </c>
      <c r="GL30" s="429">
        <f t="shared" si="12"/>
        <v>410.05057141902944</v>
      </c>
      <c r="GM30" s="438">
        <f>IFERROR(('!!'!$D30)*('!!'!W30/('!!'!$G30)),0)</f>
        <v>6239.0591954109041</v>
      </c>
      <c r="GN30" s="438">
        <f>IFERROR(('!!'!$D30)*('!!'!X30/('!!'!$G30)),0)</f>
        <v>569.95931007779313</v>
      </c>
      <c r="GO30" s="438">
        <f>IFERROR(('!!'!$D30)*('!!'!Y30/('!!'!$G30)),0)</f>
        <v>1378.7193036516217</v>
      </c>
      <c r="GP30" s="438">
        <f>IFERROR(('!!'!$D30)*('!!'!Z29/('!!'!$G30)),0)</f>
        <v>0</v>
      </c>
      <c r="GQ30" s="438">
        <f>IFERROR(('!!'!$D30)*('!!'!Q30/('!!'!$G30)),0)</f>
        <v>598.26219085968194</v>
      </c>
      <c r="GR30" s="429">
        <v>1</v>
      </c>
      <c r="GS30" s="429">
        <v>2</v>
      </c>
      <c r="GT30" s="432">
        <f>Monitoring!C30</f>
        <v>43252</v>
      </c>
      <c r="GU30" s="432">
        <f>Reference!$C30</f>
        <v>42887</v>
      </c>
      <c r="GV30" s="429">
        <f>Reference!$D30</f>
        <v>7445.2</v>
      </c>
      <c r="GW30" s="440">
        <f t="shared" si="11"/>
        <v>132</v>
      </c>
      <c r="GX30" s="440">
        <f t="shared" si="11"/>
        <v>103.46956521739131</v>
      </c>
      <c r="GY30" s="440">
        <f t="shared" si="11"/>
        <v>75</v>
      </c>
      <c r="GZ30" s="440">
        <f t="shared" si="11"/>
        <v>0</v>
      </c>
      <c r="HA30" s="440"/>
      <c r="HB30" s="440"/>
      <c r="HC30" s="440"/>
      <c r="HD30" s="440"/>
      <c r="HE30" s="429">
        <f t="shared" si="13"/>
        <v>6</v>
      </c>
      <c r="HF30" s="429">
        <f>SUM(GW30*Baseline!$P$24,GX30*Baseline!$P$25,GY30*Baseline!$P$26,GZ30*Baseline!$P$27,HA30*Baseline!$P$28,HB30*Baseline!$P$29,HC30*Baseline!$P$30,HD30*Baseline!$P$31,Baseline!$P$23)</f>
        <v>7402.0281168936126</v>
      </c>
      <c r="HG30" s="455">
        <f t="shared" si="14"/>
        <v>5.7986196618475278E-3</v>
      </c>
      <c r="HH30" s="429">
        <f>IF(HG30&lt;=Baseline!$J$13,1,0)</f>
        <v>0</v>
      </c>
      <c r="HI30" s="429">
        <f t="shared" si="15"/>
        <v>1863.8114909515616</v>
      </c>
      <c r="HJ30" s="429">
        <f t="shared" si="16"/>
        <v>47431.852412250017</v>
      </c>
      <c r="HK30" s="429">
        <f t="shared" si="17"/>
        <v>30490.98027777782</v>
      </c>
      <c r="HL30" s="429">
        <f>IF(HM30=Reference!$I$12,(HF30-GV30),"")</f>
        <v>-43.171883106387213</v>
      </c>
      <c r="HM30" s="429" t="str">
        <f>Reference!I30</f>
        <v>BA</v>
      </c>
      <c r="HO30" s="453"/>
      <c r="HP30" s="453"/>
      <c r="HQ30" s="453"/>
      <c r="HR30" s="453"/>
      <c r="HS30" s="465"/>
      <c r="HT30" s="453"/>
      <c r="HZ30" s="463"/>
      <c r="IA30" s="464"/>
      <c r="IB30" s="459"/>
      <c r="IE30" s="458"/>
    </row>
    <row r="31" spans="189:239" ht="17.25" customHeight="1" x14ac:dyDescent="0.35">
      <c r="GG31" s="432"/>
      <c r="GJ31" s="429">
        <f>IF(GK31=$GJ$15,$GJ$15,IF(GJ$24=HF$4,SUM(GK$25:GK31),SUM(GL$25:GL31)))</f>
        <v>1397.5905540984586</v>
      </c>
      <c r="GK31" s="438">
        <f>IFERROR('!!'!G31-'!!'!D31,$GJ$15)</f>
        <v>281.12728280956071</v>
      </c>
      <c r="GL31" s="429">
        <f t="shared" si="12"/>
        <v>281.12728280956071</v>
      </c>
      <c r="GM31" s="438">
        <f>IFERROR(('!!'!$D31)*('!!'!W31/('!!'!$G31)),0)</f>
        <v>5186.5082915139747</v>
      </c>
      <c r="GN31" s="438">
        <f>IFERROR(('!!'!$D31)*('!!'!X31/('!!'!$G31)),0)</f>
        <v>237.77255068051051</v>
      </c>
      <c r="GO31" s="438">
        <f>IFERROR(('!!'!$D31)*('!!'!Y31/('!!'!$G31)),0)</f>
        <v>276.28433584585247</v>
      </c>
      <c r="GP31" s="438">
        <f>IFERROR(('!!'!$D31)*('!!'!Z30/('!!'!$G31)),0)</f>
        <v>0</v>
      </c>
      <c r="GQ31" s="438">
        <f>IFERROR(('!!'!$D31)*('!!'!Q31/('!!'!$G31)),0)</f>
        <v>599.43482195966214</v>
      </c>
      <c r="GR31" s="429">
        <v>1</v>
      </c>
      <c r="GS31" s="429">
        <v>2</v>
      </c>
      <c r="GT31" s="432">
        <f>Monitoring!C31</f>
        <v>43282</v>
      </c>
      <c r="GU31" s="432">
        <f>Reference!$C31</f>
        <v>42917</v>
      </c>
      <c r="GV31" s="429">
        <f>Reference!$D31</f>
        <v>7123.3</v>
      </c>
      <c r="GW31" s="440">
        <f t="shared" si="11"/>
        <v>165</v>
      </c>
      <c r="GX31" s="440">
        <f t="shared" si="11"/>
        <v>43.080434782608691</v>
      </c>
      <c r="GY31" s="440">
        <f t="shared" si="11"/>
        <v>15</v>
      </c>
      <c r="GZ31" s="440">
        <f t="shared" si="11"/>
        <v>0</v>
      </c>
      <c r="HA31" s="440"/>
      <c r="HB31" s="440"/>
      <c r="HC31" s="440"/>
      <c r="HD31" s="440"/>
      <c r="HE31" s="429">
        <f t="shared" si="13"/>
        <v>7</v>
      </c>
      <c r="HF31" s="429">
        <f>SUM(GW31*Baseline!$P$24,GX31*Baseline!$P$25,GY31*Baseline!$P$26,GZ31*Baseline!$P$27,HA31*Baseline!$P$28,HB31*Baseline!$P$29,HC31*Baseline!$P$30,HD31*Baseline!$P$31,Baseline!$P$23)</f>
        <v>7083.4535700766774</v>
      </c>
      <c r="HG31" s="455">
        <f t="shared" si="14"/>
        <v>5.59381605763099E-3</v>
      </c>
      <c r="HH31" s="429">
        <f>IF(HG31&lt;=Baseline!$J$13,1,0)</f>
        <v>0</v>
      </c>
      <c r="HI31" s="429">
        <f t="shared" si="15"/>
        <v>1587.7379776342771</v>
      </c>
      <c r="HJ31" s="429">
        <f t="shared" si="16"/>
        <v>287685.37138360215</v>
      </c>
      <c r="HK31" s="429">
        <f t="shared" si="17"/>
        <v>246528.80027777754</v>
      </c>
      <c r="HL31" s="429">
        <f>IF(HM31=Reference!$I$12,(HF31-GV31),"")</f>
        <v>-39.84642992332283</v>
      </c>
      <c r="HM31" s="429" t="str">
        <f>Reference!I31</f>
        <v>BA</v>
      </c>
      <c r="HO31" s="453"/>
      <c r="HP31" s="453"/>
      <c r="HQ31" s="453"/>
      <c r="HR31" s="453"/>
      <c r="HS31" s="465"/>
      <c r="HT31" s="453"/>
      <c r="HZ31" s="463"/>
      <c r="IA31" s="464"/>
      <c r="IB31" s="459"/>
      <c r="IE31" s="458"/>
    </row>
    <row r="32" spans="189:239" ht="17.25" customHeight="1" x14ac:dyDescent="0.35">
      <c r="GG32" s="432"/>
      <c r="GJ32" s="429">
        <f>IF(GK32=$GJ$15,$GJ$15,IF(GJ$24=HF$4,SUM(GK$25:GK32),SUM(GL$25:GL32)))</f>
        <v>1668.8331034006314</v>
      </c>
      <c r="GK32" s="438">
        <f>IFERROR('!!'!G32-'!!'!D32,$GJ$15)</f>
        <v>271.24254930217285</v>
      </c>
      <c r="GL32" s="429">
        <f t="shared" si="12"/>
        <v>271.24254930217285</v>
      </c>
      <c r="GM32" s="438">
        <f>IFERROR(('!!'!$D32)*('!!'!W32/('!!'!$G32)),0)</f>
        <v>5070.4626163064622</v>
      </c>
      <c r="GN32" s="438">
        <f>IFERROR(('!!'!$D32)*('!!'!X32/('!!'!$G32)),0)</f>
        <v>238.21143080877499</v>
      </c>
      <c r="GO32" s="438">
        <f>IFERROR(('!!'!$D32)*('!!'!Y32/('!!'!$G32)),0)</f>
        <v>832.3570048595883</v>
      </c>
      <c r="GP32" s="438">
        <f>IFERROR(('!!'!$D32)*('!!'!Z31/('!!'!$G32)),0)</f>
        <v>0</v>
      </c>
      <c r="GQ32" s="438">
        <f>IFERROR(('!!'!$D32)*('!!'!Q32/('!!'!$G32)),0)</f>
        <v>601.96894802517386</v>
      </c>
      <c r="GR32" s="429">
        <v>1</v>
      </c>
      <c r="GS32" s="429">
        <v>2</v>
      </c>
      <c r="GT32" s="432">
        <f>Monitoring!C32</f>
        <v>43313</v>
      </c>
      <c r="GU32" s="432">
        <f>Reference!$C32</f>
        <v>42948</v>
      </c>
      <c r="GV32" s="429">
        <f>Reference!$D32</f>
        <v>8465</v>
      </c>
      <c r="GW32" s="440">
        <f t="shared" si="11"/>
        <v>188</v>
      </c>
      <c r="GX32" s="440">
        <f t="shared" si="11"/>
        <v>42.978260869565219</v>
      </c>
      <c r="GY32" s="440">
        <f t="shared" si="11"/>
        <v>45</v>
      </c>
      <c r="GZ32" s="440">
        <f t="shared" si="11"/>
        <v>0</v>
      </c>
      <c r="HA32" s="440"/>
      <c r="HB32" s="440"/>
      <c r="HC32" s="440"/>
      <c r="HD32" s="440"/>
      <c r="HE32" s="429">
        <f t="shared" si="13"/>
        <v>8</v>
      </c>
      <c r="HF32" s="429">
        <f>SUM(GW32*Baseline!$P$24,GX32*Baseline!$P$25,GY32*Baseline!$P$26,GZ32*Baseline!$P$27,HA32*Baseline!$P$28,HB32*Baseline!$P$29,HC32*Baseline!$P$30,HD32*Baseline!$P$31,Baseline!$P$23)</f>
        <v>8485.3409620130151</v>
      </c>
      <c r="HG32" s="455">
        <f t="shared" si="14"/>
        <v>2.4029488497359819E-3</v>
      </c>
      <c r="HH32" s="429">
        <f>IF(HG32&lt;=Baseline!$J$13,1,0)</f>
        <v>0</v>
      </c>
      <c r="HI32" s="429">
        <f t="shared" si="15"/>
        <v>413.75473561492277</v>
      </c>
      <c r="HJ32" s="429">
        <f t="shared" si="16"/>
        <v>749132.30583479302</v>
      </c>
      <c r="HK32" s="429">
        <f t="shared" si="17"/>
        <v>714334.8669444446</v>
      </c>
      <c r="HL32" s="429">
        <f>IF(HM32=Reference!$I$12,(HF32-GV32),"")</f>
        <v>20.340962013015087</v>
      </c>
      <c r="HM32" s="429" t="str">
        <f>Reference!I32</f>
        <v>BA</v>
      </c>
      <c r="HO32" s="453"/>
      <c r="HP32" s="453"/>
      <c r="HQ32" s="453"/>
      <c r="HR32" s="453"/>
      <c r="HS32" s="465"/>
      <c r="HT32" s="453"/>
      <c r="HZ32" s="463"/>
      <c r="IA32" s="464"/>
      <c r="IB32" s="459"/>
      <c r="IE32" s="458"/>
    </row>
    <row r="33" spans="189:239" ht="17.25" customHeight="1" x14ac:dyDescent="0.35">
      <c r="GG33" s="432"/>
      <c r="GJ33" s="429">
        <f>IF(GK33=$GJ$15,$GJ$15,IF(GJ$24=HF$4,SUM(GK$25:GK33),SUM(GL$25:GL33)))</f>
        <v>2117.6308651692289</v>
      </c>
      <c r="GK33" s="438">
        <f>IFERROR('!!'!G33-'!!'!D33,$GJ$15)</f>
        <v>448.79776176859741</v>
      </c>
      <c r="GL33" s="429">
        <f t="shared" si="12"/>
        <v>448.79776176859741</v>
      </c>
      <c r="GM33" s="438">
        <f>IFERROR(('!!'!$D33)*('!!'!W33/('!!'!$G33)),0)</f>
        <v>6823.2072824236984</v>
      </c>
      <c r="GN33" s="438">
        <f>IFERROR(('!!'!$D33)*('!!'!X33/('!!'!$G33)),0)</f>
        <v>859.41163743778247</v>
      </c>
      <c r="GO33" s="438">
        <f>IFERROR(('!!'!$D33)*('!!'!Y33/('!!'!$G33)),0)</f>
        <v>1378.9979690914529</v>
      </c>
      <c r="GP33" s="438">
        <f>IFERROR(('!!'!$D33)*('!!'!Z32/('!!'!$G33)),0)</f>
        <v>0</v>
      </c>
      <c r="GQ33" s="438">
        <f>IFERROR(('!!'!$D33)*('!!'!Q33/('!!'!$G33)),0)</f>
        <v>598.38311104706793</v>
      </c>
      <c r="GR33" s="429">
        <v>1</v>
      </c>
      <c r="GS33" s="429">
        <v>2</v>
      </c>
      <c r="GT33" s="432">
        <f>Monitoring!C33</f>
        <v>43344</v>
      </c>
      <c r="GU33" s="432">
        <f>Reference!$C33</f>
        <v>42979</v>
      </c>
      <c r="GV33" s="429">
        <f>Reference!$D33</f>
        <v>7176.6</v>
      </c>
      <c r="GW33" s="440">
        <f t="shared" si="11"/>
        <v>113</v>
      </c>
      <c r="GX33" s="440">
        <f t="shared" si="11"/>
        <v>155.98478260869564</v>
      </c>
      <c r="GY33" s="440">
        <f t="shared" si="11"/>
        <v>75</v>
      </c>
      <c r="GZ33" s="440">
        <f t="shared" si="11"/>
        <v>0</v>
      </c>
      <c r="HA33" s="440"/>
      <c r="HB33" s="440"/>
      <c r="HC33" s="440"/>
      <c r="HD33" s="440"/>
      <c r="HE33" s="429">
        <f t="shared" si="13"/>
        <v>9</v>
      </c>
      <c r="HF33" s="429">
        <f>SUM(GW33*Baseline!$P$24,GX33*Baseline!$P$25,GY33*Baseline!$P$26,GZ33*Baseline!$P$27,HA33*Baseline!$P$28,HB33*Baseline!$P$29,HC33*Baseline!$P$30,HD33*Baseline!$P$31,Baseline!$P$23)</f>
        <v>7023.0791399848786</v>
      </c>
      <c r="HG33" s="455">
        <f t="shared" si="14"/>
        <v>2.1391865230766909E-2</v>
      </c>
      <c r="HH33" s="429">
        <f>IF(HG33&lt;=Baseline!$J$13,1,0)</f>
        <v>0</v>
      </c>
      <c r="HI33" s="429">
        <f t="shared" si="15"/>
        <v>23568.654459782621</v>
      </c>
      <c r="HJ33" s="429">
        <f t="shared" si="16"/>
        <v>356095.67575029767</v>
      </c>
      <c r="HK33" s="429">
        <f t="shared" si="17"/>
        <v>196441.01361111074</v>
      </c>
      <c r="HL33" s="429">
        <f>IF(HM33=Reference!$I$12,(HF33-GV33),"")</f>
        <v>-153.5208600151218</v>
      </c>
      <c r="HM33" s="429" t="str">
        <f>Reference!I33</f>
        <v>BA</v>
      </c>
      <c r="HO33" s="453"/>
      <c r="HP33" s="453"/>
      <c r="HQ33" s="453"/>
      <c r="HR33" s="453"/>
      <c r="HS33" s="465"/>
      <c r="HT33" s="453"/>
      <c r="HZ33" s="463"/>
      <c r="IA33" s="464"/>
      <c r="IB33" s="459"/>
      <c r="IE33" s="458"/>
    </row>
    <row r="34" spans="189:239" ht="17.25" customHeight="1" x14ac:dyDescent="0.35">
      <c r="GG34" s="432"/>
      <c r="GJ34" s="429">
        <f>IF(GK34=$GJ$15,$GJ$15,IF(GJ$24=HF$4,SUM(GK$25:GK34),SUM(GL$25:GL34)))</f>
        <v>2698.72426426313</v>
      </c>
      <c r="GK34" s="438">
        <f>IFERROR('!!'!G34-'!!'!D34,$GJ$15)</f>
        <v>581.0933990939011</v>
      </c>
      <c r="GL34" s="429">
        <f t="shared" si="12"/>
        <v>581.0933990939011</v>
      </c>
      <c r="GM34" s="438">
        <f>IFERROR(('!!'!$D34)*('!!'!W34/('!!'!$G34)),0)</f>
        <v>5136.1595644775753</v>
      </c>
      <c r="GN34" s="438">
        <f>IFERROR(('!!'!$D34)*('!!'!X34/('!!'!$G34)),0)</f>
        <v>1677.5162963312121</v>
      </c>
      <c r="GO34" s="438">
        <f>IFERROR(('!!'!$D34)*('!!'!Y34/('!!'!$G34)),0)</f>
        <v>268.2723541630175</v>
      </c>
      <c r="GP34" s="438">
        <f>IFERROR(('!!'!$D34)*('!!'!Z33/('!!'!$G34)),0)</f>
        <v>0</v>
      </c>
      <c r="GQ34" s="438">
        <f>IFERROR(('!!'!$D34)*('!!'!Q34/('!!'!$G34)),0)</f>
        <v>582.05178502819535</v>
      </c>
      <c r="GR34" s="429">
        <v>1</v>
      </c>
      <c r="GS34" s="429">
        <v>2</v>
      </c>
      <c r="GT34" s="432">
        <f>Monitoring!C34</f>
        <v>43374</v>
      </c>
      <c r="GU34" s="432">
        <f>Reference!$C34</f>
        <v>43009</v>
      </c>
      <c r="GV34" s="429">
        <f>Reference!$D34</f>
        <v>7174.9</v>
      </c>
      <c r="GW34" s="440">
        <f t="shared" si="11"/>
        <v>87</v>
      </c>
      <c r="GX34" s="440">
        <f t="shared" si="11"/>
        <v>313.0152173913043</v>
      </c>
      <c r="GY34" s="440">
        <f t="shared" si="11"/>
        <v>105</v>
      </c>
      <c r="GZ34" s="440">
        <f t="shared" si="11"/>
        <v>0</v>
      </c>
      <c r="HA34" s="440"/>
      <c r="HB34" s="440"/>
      <c r="HC34" s="440"/>
      <c r="HD34" s="440"/>
      <c r="HE34" s="429">
        <f t="shared" si="13"/>
        <v>10</v>
      </c>
      <c r="HF34" s="429">
        <f>SUM(GW34*Baseline!$P$24,GX34*Baseline!$P$25,GY34*Baseline!$P$26,GZ34*Baseline!$P$27,HA34*Baseline!$P$28,HB34*Baseline!$P$29,HC34*Baseline!$P$30,HD34*Baseline!$P$31,Baseline!$P$23)</f>
        <v>7572.7817675994193</v>
      </c>
      <c r="HG34" s="455">
        <f t="shared" si="14"/>
        <v>5.5454677779400358E-2</v>
      </c>
      <c r="HH34" s="429">
        <f>IF(HG34&lt;=Baseline!$J$13,1,0)</f>
        <v>0</v>
      </c>
      <c r="HI34" s="429">
        <f t="shared" si="15"/>
        <v>158309.90098803857</v>
      </c>
      <c r="HJ34" s="429">
        <f t="shared" si="16"/>
        <v>2212.281730266146</v>
      </c>
      <c r="HK34" s="429">
        <f t="shared" si="17"/>
        <v>197950.84027777804</v>
      </c>
      <c r="HL34" s="429">
        <f>IF(HM34=Reference!$I$12,(HF34-GV34),"")</f>
        <v>397.88176759941962</v>
      </c>
      <c r="HM34" s="429" t="str">
        <f>Reference!I34</f>
        <v>BA</v>
      </c>
      <c r="HO34" s="453"/>
      <c r="HP34" s="453"/>
      <c r="HQ34" s="453"/>
      <c r="HR34" s="453"/>
      <c r="HS34" s="465"/>
      <c r="HT34" s="453"/>
      <c r="HZ34" s="463"/>
      <c r="IA34" s="464"/>
      <c r="IB34" s="459"/>
      <c r="IE34" s="458"/>
    </row>
    <row r="35" spans="189:239" ht="17.25" customHeight="1" x14ac:dyDescent="0.35">
      <c r="GG35" s="432"/>
      <c r="GJ35" s="429">
        <f>IF(GK35=$GJ$15,$GJ$15,IF(GJ$24=HF$4,SUM(GK$25:GK35),SUM(GL$25:GL35)))</f>
        <v>4301.2688648952408</v>
      </c>
      <c r="GK35" s="438">
        <f>IFERROR('!!'!G35-'!!'!D35,$GJ$15)</f>
        <v>1602.5446006321108</v>
      </c>
      <c r="GL35" s="429">
        <f t="shared" si="12"/>
        <v>1602.5446006321108</v>
      </c>
      <c r="GM35" s="438">
        <f>IFERROR(('!!'!$D35)*('!!'!W35/('!!'!$G35)),0)</f>
        <v>5807.5382264332984</v>
      </c>
      <c r="GN35" s="438">
        <f>IFERROR(('!!'!$D35)*('!!'!X35/('!!'!$G35)),0)</f>
        <v>2138.4309506051982</v>
      </c>
      <c r="GO35" s="438">
        <f>IFERROR(('!!'!$D35)*('!!'!Y35/('!!'!$G35)),0)</f>
        <v>737.59483104706351</v>
      </c>
      <c r="GP35" s="438">
        <f>IFERROR(('!!'!$D35)*('!!'!Z34/('!!'!$G35)),0)</f>
        <v>0</v>
      </c>
      <c r="GQ35" s="438">
        <f>IFERROR(('!!'!$D35)*('!!'!Q35/('!!'!$G35)),0)</f>
        <v>533.4359919144398</v>
      </c>
      <c r="GR35" s="429">
        <v>1</v>
      </c>
      <c r="GS35" s="429">
        <v>2</v>
      </c>
      <c r="GT35" s="432">
        <f>Monitoring!C35</f>
        <v>43405</v>
      </c>
      <c r="GU35" s="432">
        <f>Reference!$C35</f>
        <v>43040</v>
      </c>
      <c r="GV35" s="429">
        <f>Reference!$D35</f>
        <v>9031.7999999999993</v>
      </c>
      <c r="GW35" s="440">
        <f t="shared" ref="GW35:GZ44" si="18">IFERROR(VLOOKUP($GU35,Daten.B,GW$22,FALSE)^GW$23,0)</f>
        <v>71</v>
      </c>
      <c r="GX35" s="440">
        <f t="shared" si="18"/>
        <v>500</v>
      </c>
      <c r="GY35" s="440">
        <f t="shared" si="18"/>
        <v>135</v>
      </c>
      <c r="GZ35" s="440">
        <f t="shared" si="18"/>
        <v>0</v>
      </c>
      <c r="HA35" s="440"/>
      <c r="HB35" s="440"/>
      <c r="HC35" s="440"/>
      <c r="HD35" s="440"/>
      <c r="HE35" s="429">
        <f t="shared" si="13"/>
        <v>11</v>
      </c>
      <c r="HF35" s="429">
        <f>SUM(GW35*Baseline!$P$24,GX35*Baseline!$P$25,GY35*Baseline!$P$26,GZ35*Baseline!$P$27,HA35*Baseline!$P$28,HB35*Baseline!$P$29,HC35*Baseline!$P$30,HD35*Baseline!$P$31,Baseline!$P$23)</f>
        <v>8653.9924295854817</v>
      </c>
      <c r="HG35" s="455">
        <f t="shared" si="14"/>
        <v>4.1830816715883616E-2</v>
      </c>
      <c r="HH35" s="429">
        <f>IF(HG35&lt;=Baseline!$J$13,1,0)</f>
        <v>0</v>
      </c>
      <c r="HI35" s="429">
        <f t="shared" si="15"/>
        <v>142738.56026252068</v>
      </c>
      <c r="HJ35" s="429">
        <f t="shared" si="16"/>
        <v>1069519.508608713</v>
      </c>
      <c r="HK35" s="429">
        <f t="shared" si="17"/>
        <v>1993696.9336111092</v>
      </c>
      <c r="HL35" s="429">
        <f>IF(HM35=Reference!$I$12,(HF35-GV35),"")</f>
        <v>-377.80757041451761</v>
      </c>
      <c r="HM35" s="429" t="str">
        <f>Reference!I35</f>
        <v>BA</v>
      </c>
      <c r="HO35" s="453"/>
      <c r="HP35" s="453"/>
      <c r="HQ35" s="453"/>
      <c r="HR35" s="453"/>
      <c r="HS35" s="465"/>
      <c r="HT35" s="453"/>
      <c r="HZ35" s="463"/>
      <c r="IA35" s="464"/>
      <c r="IB35" s="459"/>
      <c r="IE35" s="458"/>
    </row>
    <row r="36" spans="189:239" ht="17.25" customHeight="1" x14ac:dyDescent="0.35">
      <c r="GG36" s="432"/>
      <c r="GJ36" s="429">
        <f>IF(GK36=$GJ$15,$GJ$15,IF(GJ$24=HF$4,SUM(GK$25:GK36),SUM(GL$25:GL36)))</f>
        <v>5944.3269540897472</v>
      </c>
      <c r="GK36" s="438">
        <f>IFERROR('!!'!G36-'!!'!D36,$GJ$15)</f>
        <v>1643.0580891945065</v>
      </c>
      <c r="GL36" s="429">
        <f t="shared" si="12"/>
        <v>1643.0580891945065</v>
      </c>
      <c r="GM36" s="438">
        <f>IFERROR(('!!'!$D36)*('!!'!W36/('!!'!$G36)),0)</f>
        <v>5714.474915411789</v>
      </c>
      <c r="GN36" s="438">
        <f>IFERROR(('!!'!$D36)*('!!'!X36/('!!'!$G36)),0)</f>
        <v>2672.1331233191986</v>
      </c>
      <c r="GO36" s="438">
        <f>IFERROR(('!!'!$D36)*('!!'!Y36/('!!'!$G36)),0)</f>
        <v>1242.3178928027992</v>
      </c>
      <c r="GP36" s="438">
        <f>IFERROR(('!!'!$D36)*('!!'!Z35/('!!'!$G36)),0)</f>
        <v>0</v>
      </c>
      <c r="GQ36" s="438">
        <f>IFERROR(('!!'!$D36)*('!!'!Q36/('!!'!$G36)),0)</f>
        <v>539.07406846621473</v>
      </c>
      <c r="GR36" s="429">
        <v>1</v>
      </c>
      <c r="GS36" s="429">
        <v>2</v>
      </c>
      <c r="GT36" s="432">
        <f>Monitoring!C36</f>
        <v>43435</v>
      </c>
      <c r="GU36" s="432">
        <f>Reference!$C36</f>
        <v>43070</v>
      </c>
      <c r="GV36" s="429">
        <f>Reference!$D36</f>
        <v>10956</v>
      </c>
      <c r="GW36" s="440">
        <f t="shared" si="18"/>
        <v>146</v>
      </c>
      <c r="GX36" s="440">
        <f t="shared" si="18"/>
        <v>820</v>
      </c>
      <c r="GY36" s="440">
        <f t="shared" si="18"/>
        <v>15</v>
      </c>
      <c r="GZ36" s="440">
        <f t="shared" si="18"/>
        <v>0</v>
      </c>
      <c r="HA36" s="440"/>
      <c r="HB36" s="440"/>
      <c r="HC36" s="440"/>
      <c r="HD36" s="440"/>
      <c r="HE36" s="429">
        <f t="shared" si="13"/>
        <v>12</v>
      </c>
      <c r="HF36" s="429">
        <f>SUM(GW36*Baseline!$P$24,GX36*Baseline!$P$25,GY36*Baseline!$P$26,GZ36*Baseline!$P$27,HA36*Baseline!$P$28,HB36*Baseline!$P$29,HC36*Baseline!$P$30,HD36*Baseline!$P$31,Baseline!$P$23)</f>
        <v>10881.100207882162</v>
      </c>
      <c r="HG36" s="455">
        <f t="shared" si="14"/>
        <v>6.8364176814382921E-3</v>
      </c>
      <c r="HH36" s="429">
        <f>IF(HG36&lt;=Baseline!$J$13,1,0)</f>
        <v>0</v>
      </c>
      <c r="HI36" s="429">
        <f t="shared" si="15"/>
        <v>5609.9788592953373</v>
      </c>
      <c r="HJ36" s="429">
        <f t="shared" si="16"/>
        <v>10635970.336203082</v>
      </c>
      <c r="HK36" s="429">
        <f t="shared" si="17"/>
        <v>11130119.233611111</v>
      </c>
      <c r="HL36" s="429">
        <f>IF(HM36=Reference!$I$12,(HF36-GV36),"")</f>
        <v>-74.899792117837933</v>
      </c>
      <c r="HM36" s="429" t="str">
        <f>Reference!I36</f>
        <v>BA</v>
      </c>
      <c r="HO36" s="453"/>
      <c r="HP36" s="453"/>
      <c r="HQ36" s="453"/>
      <c r="HR36" s="453"/>
      <c r="HS36" s="465"/>
      <c r="HT36" s="453"/>
      <c r="HZ36" s="463"/>
      <c r="IA36" s="464"/>
      <c r="IB36" s="459"/>
      <c r="IE36" s="458"/>
    </row>
    <row r="37" spans="189:239" ht="17.25" customHeight="1" x14ac:dyDescent="0.35">
      <c r="GG37" s="432"/>
      <c r="GJ37" s="429" t="str">
        <f>IF(GK37=$GJ$15,$GJ$15,IF(GJ$24=HF$4,SUM(GK$25:GK37),SUM(GL$25:GL37)))</f>
        <v>N</v>
      </c>
      <c r="GK37" s="438" t="str">
        <f>IFERROR('!!'!G37-'!!'!D37,$GJ$15)</f>
        <v>N</v>
      </c>
      <c r="GL37" s="429" t="str">
        <f t="shared" si="12"/>
        <v>N</v>
      </c>
      <c r="GM37" s="438">
        <f>IFERROR(('!!'!$D37)*('!!'!W37/('!!'!$G37)),0)</f>
        <v>0</v>
      </c>
      <c r="GN37" s="438">
        <f>IFERROR(('!!'!$D37)*('!!'!X37/('!!'!$G37)),0)</f>
        <v>0</v>
      </c>
      <c r="GO37" s="438">
        <f>IFERROR(('!!'!$D37)*('!!'!Y37/('!!'!$G37)),0)</f>
        <v>0</v>
      </c>
      <c r="GP37" s="438">
        <f>IFERROR(('!!'!$D37)*('!!'!Z36/('!!'!$G37)),0)</f>
        <v>0</v>
      </c>
      <c r="GQ37" s="438">
        <f>IFERROR(('!!'!$D37)*('!!'!Q37/('!!'!$G37)),0)</f>
        <v>0</v>
      </c>
      <c r="GR37" s="429">
        <v>1</v>
      </c>
      <c r="GS37" s="429">
        <v>2</v>
      </c>
      <c r="GT37" s="432">
        <f>Monitoring!C37</f>
        <v>0</v>
      </c>
      <c r="GU37" s="432">
        <f>Reference!$C37</f>
        <v>0</v>
      </c>
      <c r="GV37" s="429">
        <f>Reference!$D37</f>
        <v>0</v>
      </c>
      <c r="GW37" s="440">
        <f t="shared" si="18"/>
        <v>0</v>
      </c>
      <c r="GX37" s="440">
        <f t="shared" si="18"/>
        <v>0</v>
      </c>
      <c r="GY37" s="440">
        <f t="shared" si="18"/>
        <v>0</v>
      </c>
      <c r="GZ37" s="440">
        <f t="shared" si="18"/>
        <v>0</v>
      </c>
      <c r="HA37" s="440"/>
      <c r="HB37" s="440"/>
      <c r="HC37" s="440"/>
      <c r="HD37" s="440"/>
      <c r="HE37" s="429">
        <f t="shared" si="13"/>
        <v>13</v>
      </c>
      <c r="HF37" s="429">
        <f>SUM(GW37*Baseline!$P$24,GX37*Baseline!$P$25,GY37*Baseline!$P$26,GZ37*Baseline!$P$27,HA37*Baseline!$P$28,HB37*Baseline!$P$29,HC37*Baseline!$P$30,HD37*Baseline!$P$31,Baseline!$P$23)</f>
        <v>626.18362874044828</v>
      </c>
      <c r="HG37" s="455" t="e">
        <f t="shared" si="14"/>
        <v>#DIV/0!</v>
      </c>
      <c r="HH37" s="429" t="e">
        <f>IF(HG37&lt;=Baseline!$J$13,1,0)</f>
        <v>#DIV/0!</v>
      </c>
      <c r="HI37" s="429">
        <f t="shared" si="15"/>
        <v>392105.93690255558</v>
      </c>
      <c r="HJ37" s="429">
        <f t="shared" si="16"/>
        <v>48910903.069173105</v>
      </c>
      <c r="HK37" s="429">
        <f t="shared" si="17"/>
        <v>58061606.033611111</v>
      </c>
      <c r="HL37" s="429" t="str">
        <f>IF(HM37=Reference!$I$12,(HF37-GV37),"")</f>
        <v/>
      </c>
      <c r="HM37" s="429" t="str">
        <f>Reference!I37</f>
        <v/>
      </c>
      <c r="HO37" s="453"/>
      <c r="HP37" s="453"/>
      <c r="HQ37" s="453"/>
      <c r="HR37" s="453"/>
      <c r="HS37" s="465"/>
      <c r="HT37" s="453"/>
      <c r="HZ37" s="463"/>
      <c r="IA37" s="464"/>
      <c r="IB37" s="459"/>
      <c r="IE37" s="458"/>
    </row>
    <row r="38" spans="189:239" ht="17.25" customHeight="1" x14ac:dyDescent="0.35">
      <c r="GG38" s="432"/>
      <c r="GJ38" s="429" t="str">
        <f>IF(GK38=$GJ$15,$GJ$15,IF(GJ$24=HF$4,SUM(GK$25:GK38),SUM(GL$25:GL38)))</f>
        <v>N</v>
      </c>
      <c r="GK38" s="438" t="str">
        <f>IFERROR('!!'!G38-'!!'!D38,$GJ$15)</f>
        <v>N</v>
      </c>
      <c r="GL38" s="429" t="str">
        <f t="shared" si="12"/>
        <v>N</v>
      </c>
      <c r="GM38" s="438">
        <f>IFERROR(('!!'!$D38)*('!!'!W38/('!!'!$G38)),0)</f>
        <v>0</v>
      </c>
      <c r="GN38" s="438">
        <f>IFERROR(('!!'!$D38)*('!!'!X38/('!!'!$G38)),0)</f>
        <v>0</v>
      </c>
      <c r="GO38" s="438">
        <f>IFERROR(('!!'!$D38)*('!!'!Y38/('!!'!$G38)),0)</f>
        <v>0</v>
      </c>
      <c r="GP38" s="438">
        <f>IFERROR(('!!'!$D38)*('!!'!Z37/('!!'!$G38)),0)</f>
        <v>0</v>
      </c>
      <c r="GQ38" s="438">
        <f>IFERROR(('!!'!$D38)*('!!'!Q38/('!!'!$G38)),0)</f>
        <v>0</v>
      </c>
      <c r="GR38" s="429">
        <v>1</v>
      </c>
      <c r="GS38" s="429">
        <v>2</v>
      </c>
      <c r="GT38" s="432">
        <f>Monitoring!C38</f>
        <v>0</v>
      </c>
      <c r="GU38" s="432">
        <f>Reference!$C38</f>
        <v>0</v>
      </c>
      <c r="GV38" s="429">
        <f>Reference!$D38</f>
        <v>0</v>
      </c>
      <c r="GW38" s="440">
        <f t="shared" si="18"/>
        <v>0</v>
      </c>
      <c r="GX38" s="440">
        <f t="shared" si="18"/>
        <v>0</v>
      </c>
      <c r="GY38" s="440">
        <f t="shared" si="18"/>
        <v>0</v>
      </c>
      <c r="GZ38" s="440">
        <f t="shared" si="18"/>
        <v>0</v>
      </c>
      <c r="HA38" s="440"/>
      <c r="HB38" s="440"/>
      <c r="HC38" s="440"/>
      <c r="HD38" s="440"/>
      <c r="HE38" s="429">
        <f t="shared" si="13"/>
        <v>14</v>
      </c>
      <c r="HF38" s="429">
        <f>SUM(GW38*Baseline!$P$24,GX38*Baseline!$P$25,GY38*Baseline!$P$26,GZ38*Baseline!$P$27,HA38*Baseline!$P$28,HB38*Baseline!$P$29,HC38*Baseline!$P$30,HD38*Baseline!$P$31,Baseline!$P$23)</f>
        <v>626.18362874044828</v>
      </c>
      <c r="HG38" s="455" t="e">
        <f t="shared" si="14"/>
        <v>#DIV/0!</v>
      </c>
      <c r="HH38" s="429" t="e">
        <f>IF(HG38&lt;=Baseline!$J$13,1,0)</f>
        <v>#DIV/0!</v>
      </c>
      <c r="HI38" s="429">
        <f t="shared" si="15"/>
        <v>392105.93690255558</v>
      </c>
      <c r="HJ38" s="429">
        <f t="shared" si="16"/>
        <v>48910903.069173105</v>
      </c>
      <c r="HK38" s="429">
        <f t="shared" si="17"/>
        <v>58061606.033611111</v>
      </c>
      <c r="HL38" s="429" t="str">
        <f>IF(HM38=Reference!$I$12,(HF38-GV38),"")</f>
        <v/>
      </c>
      <c r="HM38" s="429" t="str">
        <f>Reference!I38</f>
        <v/>
      </c>
      <c r="HN38" s="429" t="str">
        <f t="shared" ref="HN38:HN89" si="19">IFERROR(HL38-0.00001*$HQ$20,"")</f>
        <v/>
      </c>
      <c r="HO38" s="453"/>
      <c r="HP38" s="453"/>
      <c r="HQ38" s="453"/>
      <c r="HR38" s="453"/>
      <c r="HS38" s="465"/>
      <c r="HT38" s="453"/>
      <c r="HZ38" s="463"/>
      <c r="IA38" s="464"/>
      <c r="IB38" s="459"/>
      <c r="IE38" s="458"/>
    </row>
    <row r="39" spans="189:239" ht="17.25" customHeight="1" x14ac:dyDescent="0.35">
      <c r="GG39" s="432"/>
      <c r="GJ39" s="429" t="str">
        <f>IF(GK39=$GJ$15,$GJ$15,IF(GJ$24=HF$4,SUM(GK$25:GK39),SUM(GL$25:GL39)))</f>
        <v>N</v>
      </c>
      <c r="GK39" s="438" t="str">
        <f>IFERROR('!!'!G39-'!!'!D39,$GJ$15)</f>
        <v>N</v>
      </c>
      <c r="GL39" s="429" t="str">
        <f t="shared" si="12"/>
        <v>N</v>
      </c>
      <c r="GM39" s="438">
        <f>IFERROR(('!!'!$D39)*('!!'!W39/('!!'!$G39)),0)</f>
        <v>0</v>
      </c>
      <c r="GN39" s="438">
        <f>IFERROR(('!!'!$D39)*('!!'!X39/('!!'!$G39)),0)</f>
        <v>0</v>
      </c>
      <c r="GO39" s="438">
        <f>IFERROR(('!!'!$D39)*('!!'!Y39/('!!'!$G39)),0)</f>
        <v>0</v>
      </c>
      <c r="GP39" s="438">
        <f>IFERROR(('!!'!$D39)*('!!'!Z38/('!!'!$G39)),0)</f>
        <v>0</v>
      </c>
      <c r="GQ39" s="438">
        <f>IFERROR(('!!'!$D39)*('!!'!Q39/('!!'!$G39)),0)</f>
        <v>0</v>
      </c>
      <c r="GR39" s="429">
        <v>1</v>
      </c>
      <c r="GS39" s="429">
        <v>2</v>
      </c>
      <c r="GT39" s="432">
        <f>Monitoring!C39</f>
        <v>0</v>
      </c>
      <c r="GU39" s="432">
        <f>Reference!$C39</f>
        <v>0</v>
      </c>
      <c r="GV39" s="429">
        <f>Reference!$D39</f>
        <v>0</v>
      </c>
      <c r="GW39" s="440">
        <f t="shared" si="18"/>
        <v>0</v>
      </c>
      <c r="GX39" s="440">
        <f t="shared" si="18"/>
        <v>0</v>
      </c>
      <c r="GY39" s="440">
        <f t="shared" si="18"/>
        <v>0</v>
      </c>
      <c r="GZ39" s="440">
        <f t="shared" si="18"/>
        <v>0</v>
      </c>
      <c r="HA39" s="440"/>
      <c r="HB39" s="440"/>
      <c r="HC39" s="440"/>
      <c r="HD39" s="440"/>
      <c r="HE39" s="429">
        <f t="shared" si="13"/>
        <v>15</v>
      </c>
      <c r="HF39" s="429">
        <f>SUM(GW39*Baseline!$P$24,GX39*Baseline!$P$25,GY39*Baseline!$P$26,GZ39*Baseline!$P$27,HA39*Baseline!$P$28,HB39*Baseline!$P$29,HC39*Baseline!$P$30,HD39*Baseline!$P$31,Baseline!$P$23)</f>
        <v>626.18362874044828</v>
      </c>
      <c r="HG39" s="455" t="e">
        <f t="shared" si="14"/>
        <v>#DIV/0!</v>
      </c>
      <c r="HH39" s="429" t="e">
        <f>IF(HG39&lt;=Baseline!$J$13,1,0)</f>
        <v>#DIV/0!</v>
      </c>
      <c r="HI39" s="429">
        <f t="shared" si="15"/>
        <v>392105.93690255558</v>
      </c>
      <c r="HJ39" s="429">
        <f t="shared" si="16"/>
        <v>48910903.069173105</v>
      </c>
      <c r="HK39" s="429">
        <f t="shared" si="17"/>
        <v>58061606.033611111</v>
      </c>
      <c r="HL39" s="429" t="str">
        <f>IF(HM39=Reference!$I$12,(HF39-GV39),"")</f>
        <v/>
      </c>
      <c r="HM39" s="429" t="str">
        <f>Reference!I39</f>
        <v/>
      </c>
      <c r="HN39" s="429" t="str">
        <f t="shared" si="19"/>
        <v/>
      </c>
      <c r="HO39" s="453"/>
      <c r="HP39" s="453"/>
      <c r="HQ39" s="453"/>
      <c r="HR39" s="453"/>
      <c r="HS39" s="465"/>
      <c r="HT39" s="453"/>
      <c r="HZ39" s="463"/>
      <c r="IA39" s="464"/>
      <c r="IB39" s="459"/>
      <c r="IE39" s="458"/>
    </row>
    <row r="40" spans="189:239" ht="17.25" customHeight="1" x14ac:dyDescent="0.35">
      <c r="GG40" s="432"/>
      <c r="GJ40" s="429" t="str">
        <f>IF(GK40=$GJ$15,$GJ$15,IF(GJ$24=HF$4,SUM(GK$25:GK40),SUM(GL$25:GL40)))</f>
        <v>N</v>
      </c>
      <c r="GK40" s="438" t="str">
        <f>IFERROR('!!'!G40-'!!'!D40,$GJ$15)</f>
        <v>N</v>
      </c>
      <c r="GL40" s="429" t="str">
        <f t="shared" si="12"/>
        <v>N</v>
      </c>
      <c r="GM40" s="438">
        <f>IFERROR(('!!'!$D40)*('!!'!W40/('!!'!$G40)),0)</f>
        <v>0</v>
      </c>
      <c r="GN40" s="438">
        <f>IFERROR(('!!'!$D40)*('!!'!X40/('!!'!$G40)),0)</f>
        <v>0</v>
      </c>
      <c r="GO40" s="438">
        <f>IFERROR(('!!'!$D40)*('!!'!Y40/('!!'!$G40)),0)</f>
        <v>0</v>
      </c>
      <c r="GP40" s="438">
        <f>IFERROR(('!!'!$D40)*('!!'!Z39/('!!'!$G40)),0)</f>
        <v>0</v>
      </c>
      <c r="GQ40" s="438">
        <f>IFERROR(('!!'!$D40)*('!!'!Q40/('!!'!$G40)),0)</f>
        <v>0</v>
      </c>
      <c r="GR40" s="429">
        <v>1</v>
      </c>
      <c r="GS40" s="429">
        <v>2</v>
      </c>
      <c r="GT40" s="432">
        <f>Monitoring!C40</f>
        <v>0</v>
      </c>
      <c r="GU40" s="432">
        <f>Reference!$C40</f>
        <v>0</v>
      </c>
      <c r="GV40" s="429">
        <f>Reference!$D40</f>
        <v>0</v>
      </c>
      <c r="GW40" s="440">
        <f t="shared" si="18"/>
        <v>0</v>
      </c>
      <c r="GX40" s="440">
        <f t="shared" si="18"/>
        <v>0</v>
      </c>
      <c r="GY40" s="440">
        <f t="shared" si="18"/>
        <v>0</v>
      </c>
      <c r="GZ40" s="440">
        <f t="shared" si="18"/>
        <v>0</v>
      </c>
      <c r="HA40" s="440"/>
      <c r="HB40" s="440"/>
      <c r="HC40" s="440"/>
      <c r="HD40" s="440"/>
      <c r="HE40" s="429">
        <f t="shared" si="13"/>
        <v>16</v>
      </c>
      <c r="HF40" s="429">
        <f>SUM(GW40*Baseline!$P$24,GX40*Baseline!$P$25,GY40*Baseline!$P$26,GZ40*Baseline!$P$27,HA40*Baseline!$P$28,HB40*Baseline!$P$29,HC40*Baseline!$P$30,HD40*Baseline!$P$31,Baseline!$P$23)</f>
        <v>626.18362874044828</v>
      </c>
      <c r="HG40" s="455" t="e">
        <f t="shared" si="14"/>
        <v>#DIV/0!</v>
      </c>
      <c r="HH40" s="429" t="e">
        <f>IF(HG40&lt;=Baseline!$J$13,1,0)</f>
        <v>#DIV/0!</v>
      </c>
      <c r="HI40" s="429">
        <f t="shared" si="15"/>
        <v>392105.93690255558</v>
      </c>
      <c r="HJ40" s="429">
        <f t="shared" si="16"/>
        <v>48910903.069173105</v>
      </c>
      <c r="HK40" s="429">
        <f t="shared" si="17"/>
        <v>58061606.033611111</v>
      </c>
      <c r="HL40" s="429" t="str">
        <f>IF(HM40=Reference!$I$12,(HF40-GV40),"")</f>
        <v/>
      </c>
      <c r="HM40" s="429" t="str">
        <f>Reference!I40</f>
        <v/>
      </c>
      <c r="HN40" s="429" t="str">
        <f t="shared" si="19"/>
        <v/>
      </c>
      <c r="HO40" s="453"/>
      <c r="HP40" s="466"/>
      <c r="HQ40" s="453"/>
      <c r="HR40" s="453"/>
      <c r="HS40" s="465"/>
      <c r="HT40" s="453"/>
      <c r="HZ40" s="463"/>
      <c r="IA40" s="464"/>
      <c r="IB40" s="459"/>
      <c r="IE40" s="458"/>
    </row>
    <row r="41" spans="189:239" ht="17.25" customHeight="1" x14ac:dyDescent="0.35">
      <c r="GG41" s="432"/>
      <c r="GJ41" s="429" t="str">
        <f>IF(GK41=$GJ$15,$GJ$15,IF(GJ$24=HF$4,SUM(GK$25:GK41),SUM(GL$25:GL41)))</f>
        <v>N</v>
      </c>
      <c r="GK41" s="438" t="str">
        <f>IFERROR('!!'!G41-'!!'!D41,$GJ$15)</f>
        <v>N</v>
      </c>
      <c r="GL41" s="429" t="str">
        <f t="shared" si="12"/>
        <v>N</v>
      </c>
      <c r="GM41" s="438">
        <f>IFERROR(('!!'!$D41)*('!!'!W41/('!!'!$G41)),0)</f>
        <v>0</v>
      </c>
      <c r="GN41" s="438">
        <f>IFERROR(('!!'!$D41)*('!!'!X41/('!!'!$G41)),0)</f>
        <v>0</v>
      </c>
      <c r="GO41" s="438">
        <f>IFERROR(('!!'!$D41)*('!!'!Y41/('!!'!$G41)),0)</f>
        <v>0</v>
      </c>
      <c r="GP41" s="438">
        <f>IFERROR(('!!'!$D41)*('!!'!Z40/('!!'!$G41)),0)</f>
        <v>0</v>
      </c>
      <c r="GQ41" s="438">
        <f>IFERROR(('!!'!$D41)*('!!'!Q41/('!!'!$G41)),0)</f>
        <v>0</v>
      </c>
      <c r="GR41" s="429">
        <v>1</v>
      </c>
      <c r="GS41" s="429">
        <v>2</v>
      </c>
      <c r="GT41" s="432">
        <f>Monitoring!C41</f>
        <v>0</v>
      </c>
      <c r="GU41" s="432">
        <f>Reference!$C41</f>
        <v>0</v>
      </c>
      <c r="GV41" s="429">
        <f>Reference!$D41</f>
        <v>0</v>
      </c>
      <c r="GW41" s="440">
        <f t="shared" si="18"/>
        <v>0</v>
      </c>
      <c r="GX41" s="440">
        <f t="shared" si="18"/>
        <v>0</v>
      </c>
      <c r="GY41" s="440">
        <f t="shared" si="18"/>
        <v>0</v>
      </c>
      <c r="GZ41" s="440">
        <f t="shared" si="18"/>
        <v>0</v>
      </c>
      <c r="HA41" s="440"/>
      <c r="HB41" s="440"/>
      <c r="HC41" s="440"/>
      <c r="HD41" s="440"/>
      <c r="HE41" s="429">
        <f t="shared" si="13"/>
        <v>17</v>
      </c>
      <c r="HF41" s="429">
        <f>SUM(GW41*Baseline!$P$24,GX41*Baseline!$P$25,GY41*Baseline!$P$26,GZ41*Baseline!$P$27,HA41*Baseline!$P$28,HB41*Baseline!$P$29,HC41*Baseline!$P$30,HD41*Baseline!$P$31,Baseline!$P$23)</f>
        <v>626.18362874044828</v>
      </c>
      <c r="HG41" s="455" t="e">
        <f t="shared" si="14"/>
        <v>#DIV/0!</v>
      </c>
      <c r="HH41" s="429" t="e">
        <f>IF(HG41&lt;=Baseline!$J$13,1,0)</f>
        <v>#DIV/0!</v>
      </c>
      <c r="HI41" s="429">
        <f t="shared" si="15"/>
        <v>392105.93690255558</v>
      </c>
      <c r="HJ41" s="429">
        <f t="shared" si="16"/>
        <v>48910903.069173105</v>
      </c>
      <c r="HK41" s="429">
        <f t="shared" si="17"/>
        <v>58061606.033611111</v>
      </c>
      <c r="HL41" s="429" t="str">
        <f>IF(HM41=Reference!$I$12,(HF41-GV41),"")</f>
        <v/>
      </c>
      <c r="HM41" s="429" t="str">
        <f>Reference!I41</f>
        <v/>
      </c>
      <c r="HN41" s="429" t="str">
        <f t="shared" si="19"/>
        <v/>
      </c>
      <c r="HO41" s="453"/>
      <c r="HP41" s="453"/>
      <c r="HQ41" s="453"/>
      <c r="HR41" s="453"/>
      <c r="HS41" s="465"/>
      <c r="HT41" s="453"/>
      <c r="HZ41" s="463"/>
      <c r="IA41" s="464"/>
      <c r="IB41" s="459"/>
      <c r="IE41" s="458"/>
    </row>
    <row r="42" spans="189:239" ht="17.25" customHeight="1" x14ac:dyDescent="0.35">
      <c r="GG42" s="432"/>
      <c r="GJ42" s="429" t="str">
        <f>IF(GK42=$GJ$15,$GJ$15,IF(GJ$24=HF$4,SUM(GK$25:GK42),SUM(GL$25:GL42)))</f>
        <v>N</v>
      </c>
      <c r="GK42" s="438" t="str">
        <f>IFERROR('!!'!G42-'!!'!D42,$GJ$15)</f>
        <v>N</v>
      </c>
      <c r="GL42" s="429" t="str">
        <f t="shared" si="12"/>
        <v>N</v>
      </c>
      <c r="GM42" s="438">
        <f>IFERROR(('!!'!$D42)*('!!'!W42/('!!'!$G42)),0)</f>
        <v>0</v>
      </c>
      <c r="GN42" s="438">
        <f>IFERROR(('!!'!$D42)*('!!'!X42/('!!'!$G42)),0)</f>
        <v>0</v>
      </c>
      <c r="GO42" s="438">
        <f>IFERROR(('!!'!$D42)*('!!'!Y42/('!!'!$G42)),0)</f>
        <v>0</v>
      </c>
      <c r="GP42" s="438">
        <f>IFERROR(('!!'!$D42)*('!!'!Z41/('!!'!$G42)),0)</f>
        <v>0</v>
      </c>
      <c r="GQ42" s="438">
        <f>IFERROR(('!!'!$D42)*('!!'!Q42/('!!'!$G42)),0)</f>
        <v>0</v>
      </c>
      <c r="GR42" s="429">
        <v>1</v>
      </c>
      <c r="GS42" s="429">
        <v>2</v>
      </c>
      <c r="GT42" s="432">
        <f>Monitoring!C42</f>
        <v>0</v>
      </c>
      <c r="GU42" s="432">
        <f>Reference!$C42</f>
        <v>0</v>
      </c>
      <c r="GV42" s="429">
        <f>Reference!$D42</f>
        <v>0</v>
      </c>
      <c r="GW42" s="440">
        <f t="shared" si="18"/>
        <v>0</v>
      </c>
      <c r="GX42" s="440">
        <f t="shared" si="18"/>
        <v>0</v>
      </c>
      <c r="GY42" s="440">
        <f t="shared" si="18"/>
        <v>0</v>
      </c>
      <c r="GZ42" s="440">
        <f t="shared" si="18"/>
        <v>0</v>
      </c>
      <c r="HA42" s="440"/>
      <c r="HB42" s="440"/>
      <c r="HC42" s="440"/>
      <c r="HD42" s="440"/>
      <c r="HE42" s="429">
        <f t="shared" si="13"/>
        <v>18</v>
      </c>
      <c r="HF42" s="429">
        <f>SUM(GW42*Baseline!$P$24,GX42*Baseline!$P$25,GY42*Baseline!$P$26,GZ42*Baseline!$P$27,HA42*Baseline!$P$28,HB42*Baseline!$P$29,HC42*Baseline!$P$30,HD42*Baseline!$P$31,Baseline!$P$23)</f>
        <v>626.18362874044828</v>
      </c>
      <c r="HG42" s="455" t="e">
        <f t="shared" si="14"/>
        <v>#DIV/0!</v>
      </c>
      <c r="HH42" s="429" t="e">
        <f>IF(HG42&lt;=Baseline!$J$13,1,0)</f>
        <v>#DIV/0!</v>
      </c>
      <c r="HI42" s="429">
        <f t="shared" si="15"/>
        <v>392105.93690255558</v>
      </c>
      <c r="HJ42" s="429">
        <f t="shared" si="16"/>
        <v>48910903.069173105</v>
      </c>
      <c r="HK42" s="429">
        <f t="shared" si="17"/>
        <v>58061606.033611111</v>
      </c>
      <c r="HL42" s="429" t="str">
        <f>IF(HM42=Reference!$I$12,(HF42-GV42),"")</f>
        <v/>
      </c>
      <c r="HM42" s="429" t="str">
        <f>Reference!I42</f>
        <v/>
      </c>
      <c r="HN42" s="429" t="str">
        <f t="shared" si="19"/>
        <v/>
      </c>
      <c r="HO42" s="453"/>
      <c r="HP42" s="453"/>
      <c r="HQ42" s="453"/>
      <c r="HR42" s="453"/>
      <c r="HS42" s="465"/>
      <c r="HT42" s="453"/>
      <c r="HZ42" s="463"/>
      <c r="IA42" s="464"/>
      <c r="IB42" s="459"/>
      <c r="IE42" s="458"/>
    </row>
    <row r="43" spans="189:239" ht="17.25" customHeight="1" x14ac:dyDescent="0.35">
      <c r="GG43" s="432"/>
      <c r="GJ43" s="429" t="str">
        <f>IF(GK43=$GJ$15,$GJ$15,IF(GJ$24=HF$4,SUM(GK$25:GK43),SUM(GL$25:GL43)))</f>
        <v>N</v>
      </c>
      <c r="GK43" s="438" t="str">
        <f>IFERROR('!!'!G43-'!!'!D43,$GJ$15)</f>
        <v>N</v>
      </c>
      <c r="GL43" s="429" t="str">
        <f t="shared" si="12"/>
        <v>N</v>
      </c>
      <c r="GM43" s="438">
        <f>IFERROR(('!!'!$D43)*('!!'!W43/('!!'!$G43)),0)</f>
        <v>0</v>
      </c>
      <c r="GN43" s="438">
        <f>IFERROR(('!!'!$D43)*('!!'!X43/('!!'!$G43)),0)</f>
        <v>0</v>
      </c>
      <c r="GO43" s="438">
        <f>IFERROR(('!!'!$D43)*('!!'!Y43/('!!'!$G43)),0)</f>
        <v>0</v>
      </c>
      <c r="GP43" s="438">
        <f>IFERROR(('!!'!$D43)*('!!'!Z42/('!!'!$G43)),0)</f>
        <v>0</v>
      </c>
      <c r="GQ43" s="438">
        <f>IFERROR(('!!'!$D43)*('!!'!Q43/('!!'!$G43)),0)</f>
        <v>0</v>
      </c>
      <c r="GR43" s="429">
        <v>1</v>
      </c>
      <c r="GS43" s="429">
        <v>2</v>
      </c>
      <c r="GT43" s="432">
        <f>Monitoring!C43</f>
        <v>0</v>
      </c>
      <c r="GU43" s="432">
        <f>Reference!$C43</f>
        <v>0</v>
      </c>
      <c r="GV43" s="429">
        <f>Reference!$D43</f>
        <v>0</v>
      </c>
      <c r="GW43" s="440">
        <f t="shared" si="18"/>
        <v>0</v>
      </c>
      <c r="GX43" s="440">
        <f t="shared" si="18"/>
        <v>0</v>
      </c>
      <c r="GY43" s="440">
        <f t="shared" si="18"/>
        <v>0</v>
      </c>
      <c r="GZ43" s="440">
        <f t="shared" si="18"/>
        <v>0</v>
      </c>
      <c r="HA43" s="440"/>
      <c r="HB43" s="440"/>
      <c r="HC43" s="440"/>
      <c r="HD43" s="440"/>
      <c r="HE43" s="429">
        <f t="shared" si="13"/>
        <v>19</v>
      </c>
      <c r="HF43" s="429">
        <f>SUM(GW43*Baseline!$P$24,GX43*Baseline!$P$25,GY43*Baseline!$P$26,GZ43*Baseline!$P$27,HA43*Baseline!$P$28,HB43*Baseline!$P$29,HC43*Baseline!$P$30,HD43*Baseline!$P$31,Baseline!$P$23)</f>
        <v>626.18362874044828</v>
      </c>
      <c r="HG43" s="455" t="e">
        <f t="shared" si="14"/>
        <v>#DIV/0!</v>
      </c>
      <c r="HH43" s="429" t="e">
        <f>IF(HG43&lt;=Baseline!$J$13,1,0)</f>
        <v>#DIV/0!</v>
      </c>
      <c r="HI43" s="429">
        <f t="shared" si="15"/>
        <v>392105.93690255558</v>
      </c>
      <c r="HJ43" s="429">
        <f t="shared" si="16"/>
        <v>48910903.069173105</v>
      </c>
      <c r="HK43" s="429">
        <f t="shared" si="17"/>
        <v>58061606.033611111</v>
      </c>
      <c r="HL43" s="429" t="str">
        <f>IF(HM43=Reference!$I$12,(HF43-GV43),"")</f>
        <v/>
      </c>
      <c r="HM43" s="429" t="str">
        <f>Reference!I43</f>
        <v/>
      </c>
      <c r="HN43" s="429" t="str">
        <f t="shared" si="19"/>
        <v/>
      </c>
      <c r="HO43" s="453"/>
      <c r="HP43" s="453"/>
      <c r="HQ43" s="453"/>
      <c r="HR43" s="453"/>
      <c r="HS43" s="465"/>
      <c r="HT43" s="453"/>
      <c r="HZ43" s="463"/>
      <c r="IA43" s="464"/>
      <c r="IB43" s="459"/>
      <c r="IE43" s="458"/>
    </row>
    <row r="44" spans="189:239" ht="17.25" customHeight="1" x14ac:dyDescent="0.35">
      <c r="GG44" s="432"/>
      <c r="GJ44" s="429" t="str">
        <f>IF(GK44=$GJ$15,$GJ$15,IF(GJ$24=HF$4,SUM(GK$25:GK44),SUM(GL$25:GL44)))</f>
        <v>N</v>
      </c>
      <c r="GK44" s="438" t="str">
        <f>IFERROR('!!'!G44-'!!'!D44,$GJ$15)</f>
        <v>N</v>
      </c>
      <c r="GL44" s="429" t="str">
        <f t="shared" si="12"/>
        <v>N</v>
      </c>
      <c r="GM44" s="438">
        <f>IFERROR(('!!'!$D44)*('!!'!W44/('!!'!$G44)),0)</f>
        <v>0</v>
      </c>
      <c r="GN44" s="438">
        <f>IFERROR(('!!'!$D44)*('!!'!X44/('!!'!$G44)),0)</f>
        <v>0</v>
      </c>
      <c r="GO44" s="438">
        <f>IFERROR(('!!'!$D44)*('!!'!Y44/('!!'!$G44)),0)</f>
        <v>0</v>
      </c>
      <c r="GP44" s="438">
        <f>IFERROR(('!!'!$D44)*('!!'!Z43/('!!'!$G44)),0)</f>
        <v>0</v>
      </c>
      <c r="GQ44" s="438">
        <f>IFERROR(('!!'!$D44)*('!!'!Q44/('!!'!$G44)),0)</f>
        <v>0</v>
      </c>
      <c r="GR44" s="429">
        <v>1</v>
      </c>
      <c r="GS44" s="429">
        <v>2</v>
      </c>
      <c r="GT44" s="432">
        <f>Monitoring!C44</f>
        <v>0</v>
      </c>
      <c r="GU44" s="432">
        <f>Reference!$C44</f>
        <v>0</v>
      </c>
      <c r="GV44" s="429">
        <f>Reference!$D44</f>
        <v>0</v>
      </c>
      <c r="GW44" s="440">
        <f t="shared" si="18"/>
        <v>0</v>
      </c>
      <c r="GX44" s="440">
        <f t="shared" si="18"/>
        <v>0</v>
      </c>
      <c r="GY44" s="440">
        <f t="shared" si="18"/>
        <v>0</v>
      </c>
      <c r="GZ44" s="440">
        <f t="shared" si="18"/>
        <v>0</v>
      </c>
      <c r="HA44" s="440"/>
      <c r="HB44" s="440"/>
      <c r="HC44" s="440"/>
      <c r="HD44" s="440"/>
      <c r="HE44" s="429">
        <f t="shared" si="13"/>
        <v>20</v>
      </c>
      <c r="HF44" s="429">
        <f>SUM(GW44*Baseline!$P$24,GX44*Baseline!$P$25,GY44*Baseline!$P$26,GZ44*Baseline!$P$27,HA44*Baseline!$P$28,HB44*Baseline!$P$29,HC44*Baseline!$P$30,HD44*Baseline!$P$31,Baseline!$P$23)</f>
        <v>626.18362874044828</v>
      </c>
      <c r="HG44" s="455" t="e">
        <f t="shared" si="14"/>
        <v>#DIV/0!</v>
      </c>
      <c r="HH44" s="429" t="e">
        <f>IF(HG44&lt;=Baseline!$J$13,1,0)</f>
        <v>#DIV/0!</v>
      </c>
      <c r="HI44" s="429">
        <f t="shared" si="15"/>
        <v>392105.93690255558</v>
      </c>
      <c r="HJ44" s="429">
        <f t="shared" si="16"/>
        <v>48910903.069173105</v>
      </c>
      <c r="HK44" s="429">
        <f t="shared" si="17"/>
        <v>58061606.033611111</v>
      </c>
      <c r="HL44" s="429" t="str">
        <f>IF(HM44=Reference!$I$12,(HF44-GV44),"")</f>
        <v/>
      </c>
      <c r="HM44" s="429" t="str">
        <f>Reference!I44</f>
        <v/>
      </c>
      <c r="HN44" s="429" t="str">
        <f t="shared" si="19"/>
        <v/>
      </c>
      <c r="HO44" s="453"/>
      <c r="HP44" s="453"/>
      <c r="HQ44" s="453"/>
      <c r="HR44" s="453"/>
      <c r="HS44" s="465"/>
      <c r="HT44" s="453"/>
      <c r="HZ44" s="463"/>
      <c r="IA44" s="464"/>
      <c r="IB44" s="459"/>
      <c r="IE44" s="458"/>
    </row>
    <row r="45" spans="189:239" ht="17.25" customHeight="1" x14ac:dyDescent="0.35">
      <c r="GG45" s="432"/>
      <c r="GJ45" s="429" t="str">
        <f>IF(GK45=$GJ$15,$GJ$15,IF(GJ$24=HF$4,SUM(GK$25:GK45),SUM(GL$25:GL45)))</f>
        <v>N</v>
      </c>
      <c r="GK45" s="438" t="str">
        <f>IFERROR('!!'!G45-'!!'!D45,$GJ$15)</f>
        <v>N</v>
      </c>
      <c r="GL45" s="429" t="str">
        <f t="shared" si="12"/>
        <v>N</v>
      </c>
      <c r="GM45" s="438">
        <f>IFERROR(('!!'!$D45)*('!!'!W45/('!!'!$G45)),0)</f>
        <v>0</v>
      </c>
      <c r="GN45" s="438">
        <f>IFERROR(('!!'!$D45)*('!!'!X45/('!!'!$G45)),0)</f>
        <v>0</v>
      </c>
      <c r="GO45" s="438">
        <f>IFERROR(('!!'!$D45)*('!!'!Y45/('!!'!$G45)),0)</f>
        <v>0</v>
      </c>
      <c r="GP45" s="438">
        <f>IFERROR(('!!'!$D45)*('!!'!Z44/('!!'!$G45)),0)</f>
        <v>0</v>
      </c>
      <c r="GQ45" s="438">
        <f>IFERROR(('!!'!$D45)*('!!'!Q45/('!!'!$G45)),0)</f>
        <v>0</v>
      </c>
      <c r="GR45" s="429">
        <v>1</v>
      </c>
      <c r="GS45" s="429">
        <v>2</v>
      </c>
      <c r="GT45" s="432">
        <f>Monitoring!C45</f>
        <v>0</v>
      </c>
      <c r="GU45" s="432">
        <f>Reference!$C45</f>
        <v>0</v>
      </c>
      <c r="GV45" s="429">
        <f>Reference!$D45</f>
        <v>0</v>
      </c>
      <c r="GW45" s="440">
        <f t="shared" ref="GW45:GZ54" si="20">IFERROR(VLOOKUP($GU45,Daten.B,GW$22,FALSE)^GW$23,0)</f>
        <v>0</v>
      </c>
      <c r="GX45" s="440">
        <f t="shared" si="20"/>
        <v>0</v>
      </c>
      <c r="GY45" s="440">
        <f t="shared" si="20"/>
        <v>0</v>
      </c>
      <c r="GZ45" s="440">
        <f t="shared" si="20"/>
        <v>0</v>
      </c>
      <c r="HA45" s="440"/>
      <c r="HB45" s="440"/>
      <c r="HC45" s="440"/>
      <c r="HD45" s="440"/>
      <c r="HE45" s="429">
        <f t="shared" si="13"/>
        <v>21</v>
      </c>
      <c r="HF45" s="429">
        <f>SUM(GW45*Baseline!$P$24,GX45*Baseline!$P$25,GY45*Baseline!$P$26,GZ45*Baseline!$P$27,HA45*Baseline!$P$28,HB45*Baseline!$P$29,HC45*Baseline!$P$30,HD45*Baseline!$P$31,Baseline!$P$23)</f>
        <v>626.18362874044828</v>
      </c>
      <c r="HG45" s="455" t="e">
        <f t="shared" si="14"/>
        <v>#DIV/0!</v>
      </c>
      <c r="HH45" s="429" t="e">
        <f>IF(HG45&lt;=Baseline!$J$13,1,0)</f>
        <v>#DIV/0!</v>
      </c>
      <c r="HI45" s="429">
        <f t="shared" si="15"/>
        <v>392105.93690255558</v>
      </c>
      <c r="HJ45" s="429">
        <f t="shared" si="16"/>
        <v>48910903.069173105</v>
      </c>
      <c r="HK45" s="429">
        <f t="shared" si="17"/>
        <v>58061606.033611111</v>
      </c>
      <c r="HL45" s="429" t="str">
        <f>IF(HM45=Reference!$I$12,(HF45-GV45),"")</f>
        <v/>
      </c>
      <c r="HM45" s="429" t="str">
        <f>Reference!I45</f>
        <v/>
      </c>
      <c r="HN45" s="429" t="str">
        <f t="shared" si="19"/>
        <v/>
      </c>
      <c r="HO45" s="453"/>
      <c r="HP45" s="453"/>
      <c r="HQ45" s="453"/>
      <c r="HR45" s="453"/>
      <c r="HS45" s="465"/>
      <c r="HT45" s="453"/>
      <c r="HZ45" s="463"/>
      <c r="IA45" s="464"/>
      <c r="IB45" s="459"/>
      <c r="IE45" s="458"/>
    </row>
    <row r="46" spans="189:239" ht="17.25" customHeight="1" x14ac:dyDescent="0.35">
      <c r="GG46" s="432"/>
      <c r="GJ46" s="429" t="str">
        <f>IF(GK46=$GJ$15,$GJ$15,IF(GJ$24=HF$4,SUM(GK$25:GK46),SUM(GL$25:GL46)))</f>
        <v>N</v>
      </c>
      <c r="GK46" s="438" t="str">
        <f>IFERROR('!!'!G46-'!!'!D46,$GJ$15)</f>
        <v>N</v>
      </c>
      <c r="GL46" s="429" t="str">
        <f t="shared" si="12"/>
        <v>N</v>
      </c>
      <c r="GM46" s="438">
        <f>IFERROR(('!!'!$D46)*('!!'!W46/('!!'!$G46)),0)</f>
        <v>0</v>
      </c>
      <c r="GN46" s="438">
        <f>IFERROR(('!!'!$D46)*('!!'!X46/('!!'!$G46)),0)</f>
        <v>0</v>
      </c>
      <c r="GO46" s="438">
        <f>IFERROR(('!!'!$D46)*('!!'!Y46/('!!'!$G46)),0)</f>
        <v>0</v>
      </c>
      <c r="GP46" s="438">
        <f>IFERROR(('!!'!$D46)*('!!'!Z45/('!!'!$G46)),0)</f>
        <v>0</v>
      </c>
      <c r="GQ46" s="438">
        <f>IFERROR(('!!'!$D46)*('!!'!Q46/('!!'!$G46)),0)</f>
        <v>0</v>
      </c>
      <c r="GR46" s="429">
        <v>1</v>
      </c>
      <c r="GS46" s="429">
        <v>2</v>
      </c>
      <c r="GT46" s="432">
        <f>Monitoring!C46</f>
        <v>0</v>
      </c>
      <c r="GU46" s="432">
        <f>Reference!$C46</f>
        <v>0</v>
      </c>
      <c r="GV46" s="429">
        <f>Reference!$D46</f>
        <v>0</v>
      </c>
      <c r="GW46" s="440">
        <f t="shared" si="20"/>
        <v>0</v>
      </c>
      <c r="GX46" s="440">
        <f t="shared" si="20"/>
        <v>0</v>
      </c>
      <c r="GY46" s="440">
        <f t="shared" si="20"/>
        <v>0</v>
      </c>
      <c r="GZ46" s="440">
        <f t="shared" si="20"/>
        <v>0</v>
      </c>
      <c r="HA46" s="440"/>
      <c r="HB46" s="440"/>
      <c r="HC46" s="440"/>
      <c r="HD46" s="440"/>
      <c r="HE46" s="429">
        <f t="shared" si="13"/>
        <v>22</v>
      </c>
      <c r="HF46" s="429">
        <f>SUM(GW46*Baseline!$P$24,GX46*Baseline!$P$25,GY46*Baseline!$P$26,GZ46*Baseline!$P$27,HA46*Baseline!$P$28,HB46*Baseline!$P$29,HC46*Baseline!$P$30,HD46*Baseline!$P$31,Baseline!$P$23)</f>
        <v>626.18362874044828</v>
      </c>
      <c r="HG46" s="455" t="e">
        <f t="shared" si="14"/>
        <v>#DIV/0!</v>
      </c>
      <c r="HH46" s="429" t="e">
        <f>IF(HG46&lt;=Baseline!$J$13,1,0)</f>
        <v>#DIV/0!</v>
      </c>
      <c r="HI46" s="429">
        <f t="shared" si="15"/>
        <v>392105.93690255558</v>
      </c>
      <c r="HJ46" s="429">
        <f t="shared" si="16"/>
        <v>48910903.069173105</v>
      </c>
      <c r="HK46" s="429">
        <f t="shared" si="17"/>
        <v>58061606.033611111</v>
      </c>
      <c r="HL46" s="429" t="str">
        <f>IF(HM46=Reference!$I$12,(HF46-GV46),"")</f>
        <v/>
      </c>
      <c r="HM46" s="429" t="str">
        <f>Reference!I46</f>
        <v/>
      </c>
      <c r="HN46" s="429" t="str">
        <f t="shared" si="19"/>
        <v/>
      </c>
      <c r="HO46" s="453"/>
      <c r="HP46" s="453"/>
      <c r="HQ46" s="453"/>
      <c r="HR46" s="453"/>
      <c r="HS46" s="465"/>
      <c r="HT46" s="453"/>
      <c r="HZ46" s="463"/>
      <c r="IA46" s="464"/>
      <c r="IB46" s="459"/>
      <c r="IE46" s="458"/>
    </row>
    <row r="47" spans="189:239" ht="17.25" customHeight="1" x14ac:dyDescent="0.35">
      <c r="GG47" s="432"/>
      <c r="GJ47" s="429" t="str">
        <f>IF(GK47=$GJ$15,$GJ$15,IF(GJ$24=HF$4,SUM(GK$25:GK47),SUM(GL$25:GL47)))</f>
        <v>N</v>
      </c>
      <c r="GK47" s="438" t="str">
        <f>IFERROR('!!'!G47-'!!'!D47,$GJ$15)</f>
        <v>N</v>
      </c>
      <c r="GL47" s="429" t="str">
        <f t="shared" si="12"/>
        <v>N</v>
      </c>
      <c r="GM47" s="438">
        <f>IFERROR(('!!'!$D47)*('!!'!W47/('!!'!$G47)),0)</f>
        <v>0</v>
      </c>
      <c r="GN47" s="438">
        <f>IFERROR(('!!'!$D47)*('!!'!X47/('!!'!$G47)),0)</f>
        <v>0</v>
      </c>
      <c r="GO47" s="438">
        <f>IFERROR(('!!'!$D47)*('!!'!Y47/('!!'!$G47)),0)</f>
        <v>0</v>
      </c>
      <c r="GP47" s="438">
        <f>IFERROR(('!!'!$D47)*('!!'!Z46/('!!'!$G47)),0)</f>
        <v>0</v>
      </c>
      <c r="GQ47" s="438">
        <f>IFERROR(('!!'!$D47)*('!!'!Q47/('!!'!$G47)),0)</f>
        <v>0</v>
      </c>
      <c r="GR47" s="429">
        <v>1</v>
      </c>
      <c r="GS47" s="429">
        <v>2</v>
      </c>
      <c r="GT47" s="432">
        <f>Monitoring!C47</f>
        <v>0</v>
      </c>
      <c r="GU47" s="432">
        <f>Reference!$C47</f>
        <v>0</v>
      </c>
      <c r="GV47" s="429">
        <f>Reference!$D47</f>
        <v>0</v>
      </c>
      <c r="GW47" s="440">
        <f t="shared" si="20"/>
        <v>0</v>
      </c>
      <c r="GX47" s="440">
        <f t="shared" si="20"/>
        <v>0</v>
      </c>
      <c r="GY47" s="440">
        <f t="shared" si="20"/>
        <v>0</v>
      </c>
      <c r="GZ47" s="440">
        <f t="shared" si="20"/>
        <v>0</v>
      </c>
      <c r="HA47" s="440"/>
      <c r="HB47" s="440"/>
      <c r="HC47" s="440"/>
      <c r="HD47" s="440"/>
      <c r="HE47" s="429">
        <f t="shared" si="13"/>
        <v>23</v>
      </c>
      <c r="HF47" s="429">
        <f>SUM(GW47*Baseline!$P$24,GX47*Baseline!$P$25,GY47*Baseline!$P$26,GZ47*Baseline!$P$27,HA47*Baseline!$P$28,HB47*Baseline!$P$29,HC47*Baseline!$P$30,HD47*Baseline!$P$31,Baseline!$P$23)</f>
        <v>626.18362874044828</v>
      </c>
      <c r="HG47" s="455" t="e">
        <f t="shared" si="14"/>
        <v>#DIV/0!</v>
      </c>
      <c r="HH47" s="429" t="e">
        <f>IF(HG47&lt;=Baseline!$J$13,1,0)</f>
        <v>#DIV/0!</v>
      </c>
      <c r="HI47" s="429">
        <f t="shared" si="15"/>
        <v>392105.93690255558</v>
      </c>
      <c r="HJ47" s="429">
        <f t="shared" si="16"/>
        <v>48910903.069173105</v>
      </c>
      <c r="HK47" s="429">
        <f t="shared" si="17"/>
        <v>58061606.033611111</v>
      </c>
      <c r="HL47" s="429" t="str">
        <f>IF(HM47=Reference!$I$12,(HF47-GV47),"")</f>
        <v/>
      </c>
      <c r="HM47" s="429" t="str">
        <f>Reference!I47</f>
        <v/>
      </c>
      <c r="HN47" s="429" t="str">
        <f t="shared" si="19"/>
        <v/>
      </c>
      <c r="HO47" s="453"/>
      <c r="HP47" s="453"/>
      <c r="HQ47" s="453"/>
      <c r="HR47" s="453"/>
      <c r="HS47" s="465"/>
      <c r="HT47" s="453"/>
      <c r="HZ47" s="463"/>
      <c r="IA47" s="464"/>
      <c r="IB47" s="459"/>
      <c r="IE47" s="458"/>
    </row>
    <row r="48" spans="189:239" ht="17.25" customHeight="1" x14ac:dyDescent="0.35">
      <c r="GG48" s="432"/>
      <c r="GJ48" s="429" t="str">
        <f>IF(GK48=$GJ$15,$GJ$15,IF(GJ$24=HF$4,SUM(GK$25:GK48),SUM(GL$25:GL48)))</f>
        <v>N</v>
      </c>
      <c r="GK48" s="438" t="str">
        <f>IFERROR('!!'!G48-'!!'!D48,$GJ$15)</f>
        <v>N</v>
      </c>
      <c r="GL48" s="429" t="str">
        <f t="shared" si="12"/>
        <v>N</v>
      </c>
      <c r="GM48" s="438">
        <f>IFERROR(('!!'!$D48)*('!!'!W48/('!!'!$G48)),0)</f>
        <v>0</v>
      </c>
      <c r="GN48" s="438">
        <f>IFERROR(('!!'!$D48)*('!!'!X48/('!!'!$G48)),0)</f>
        <v>0</v>
      </c>
      <c r="GO48" s="438">
        <f>IFERROR(('!!'!$D48)*('!!'!Y48/('!!'!$G48)),0)</f>
        <v>0</v>
      </c>
      <c r="GP48" s="438">
        <f>IFERROR(('!!'!$D48)*('!!'!Z47/('!!'!$G48)),0)</f>
        <v>0</v>
      </c>
      <c r="GQ48" s="438">
        <f>IFERROR(('!!'!$D48)*('!!'!Q48/('!!'!$G48)),0)</f>
        <v>0</v>
      </c>
      <c r="GR48" s="429">
        <v>1</v>
      </c>
      <c r="GS48" s="429">
        <v>2</v>
      </c>
      <c r="GT48" s="432">
        <f>Monitoring!C48</f>
        <v>0</v>
      </c>
      <c r="GU48" s="432">
        <f>Reference!$C48</f>
        <v>0</v>
      </c>
      <c r="GV48" s="429">
        <f>Reference!$D48</f>
        <v>0</v>
      </c>
      <c r="GW48" s="440">
        <f t="shared" si="20"/>
        <v>0</v>
      </c>
      <c r="GX48" s="440">
        <f t="shared" si="20"/>
        <v>0</v>
      </c>
      <c r="GY48" s="440">
        <f t="shared" si="20"/>
        <v>0</v>
      </c>
      <c r="GZ48" s="440">
        <f t="shared" si="20"/>
        <v>0</v>
      </c>
      <c r="HA48" s="440"/>
      <c r="HB48" s="440"/>
      <c r="HC48" s="440"/>
      <c r="HD48" s="440"/>
      <c r="HE48" s="429">
        <f t="shared" si="13"/>
        <v>24</v>
      </c>
      <c r="HF48" s="429">
        <f>SUM(GW48*Baseline!$P$24,GX48*Baseline!$P$25,GY48*Baseline!$P$26,GZ48*Baseline!$P$27,HA48*Baseline!$P$28,HB48*Baseline!$P$29,HC48*Baseline!$P$30,HD48*Baseline!$P$31,Baseline!$P$23)</f>
        <v>626.18362874044828</v>
      </c>
      <c r="HG48" s="455" t="e">
        <f t="shared" si="14"/>
        <v>#DIV/0!</v>
      </c>
      <c r="HH48" s="429" t="e">
        <f>IF(HG48&lt;=Baseline!$J$13,1,0)</f>
        <v>#DIV/0!</v>
      </c>
      <c r="HI48" s="429">
        <f t="shared" si="15"/>
        <v>392105.93690255558</v>
      </c>
      <c r="HJ48" s="429">
        <f t="shared" si="16"/>
        <v>48910903.069173105</v>
      </c>
      <c r="HK48" s="429">
        <f t="shared" si="17"/>
        <v>58061606.033611111</v>
      </c>
      <c r="HL48" s="429" t="str">
        <f>IF(HM48=Reference!$I$12,(HF48-GV48),"")</f>
        <v/>
      </c>
      <c r="HM48" s="429" t="str">
        <f>Reference!I48</f>
        <v/>
      </c>
      <c r="HN48" s="429" t="str">
        <f t="shared" si="19"/>
        <v/>
      </c>
      <c r="HO48" s="453"/>
      <c r="HP48" s="453"/>
      <c r="HQ48" s="453"/>
      <c r="HR48" s="453"/>
      <c r="HS48" s="465"/>
      <c r="HT48" s="453"/>
      <c r="HZ48" s="463"/>
      <c r="IA48" s="464"/>
      <c r="IB48" s="459"/>
      <c r="IE48" s="458"/>
    </row>
    <row r="49" spans="189:239" ht="17.25" customHeight="1" x14ac:dyDescent="0.35">
      <c r="GG49" s="432"/>
      <c r="GJ49" s="429" t="str">
        <f>IF(GK49=$GJ$15,$GJ$15,IF(GJ$24=HF$4,SUM(GK$25:GK49),SUM(GL$25:GL49)))</f>
        <v>N</v>
      </c>
      <c r="GK49" s="438" t="str">
        <f>IFERROR('!!'!G49-'!!'!D49,$GJ$15)</f>
        <v>N</v>
      </c>
      <c r="GL49" s="429" t="str">
        <f t="shared" si="12"/>
        <v>N</v>
      </c>
      <c r="GM49" s="438">
        <f>IFERROR(('!!'!$D49)*('!!'!W49/('!!'!$G49)),0)</f>
        <v>0</v>
      </c>
      <c r="GN49" s="438">
        <f>IFERROR(('!!'!$D49)*('!!'!X49/('!!'!$G49)),0)</f>
        <v>0</v>
      </c>
      <c r="GO49" s="438">
        <f>IFERROR(('!!'!$D49)*('!!'!Y49/('!!'!$G49)),0)</f>
        <v>0</v>
      </c>
      <c r="GP49" s="438">
        <f>IFERROR(('!!'!$D49)*('!!'!Z48/('!!'!$G49)),0)</f>
        <v>0</v>
      </c>
      <c r="GQ49" s="438">
        <f>IFERROR(('!!'!$D49)*('!!'!Q49/('!!'!$G49)),0)</f>
        <v>0</v>
      </c>
      <c r="GR49" s="429">
        <v>1</v>
      </c>
      <c r="GS49" s="429">
        <v>2</v>
      </c>
      <c r="GT49" s="432">
        <f>Monitoring!C49</f>
        <v>0</v>
      </c>
      <c r="GU49" s="432">
        <f>Reference!$C49</f>
        <v>0</v>
      </c>
      <c r="GV49" s="429">
        <f>Reference!$D49</f>
        <v>0</v>
      </c>
      <c r="GW49" s="440">
        <f t="shared" si="20"/>
        <v>0</v>
      </c>
      <c r="GX49" s="440">
        <f t="shared" si="20"/>
        <v>0</v>
      </c>
      <c r="GY49" s="440">
        <f t="shared" si="20"/>
        <v>0</v>
      </c>
      <c r="GZ49" s="440">
        <f t="shared" si="20"/>
        <v>0</v>
      </c>
      <c r="HA49" s="440"/>
      <c r="HB49" s="440"/>
      <c r="HC49" s="440"/>
      <c r="HD49" s="440"/>
      <c r="HE49" s="429">
        <f t="shared" si="13"/>
        <v>25</v>
      </c>
      <c r="HF49" s="429">
        <f>SUM(GW49*Baseline!$P$24,GX49*Baseline!$P$25,GY49*Baseline!$P$26,GZ49*Baseline!$P$27,HA49*Baseline!$P$28,HB49*Baseline!$P$29,HC49*Baseline!$P$30,HD49*Baseline!$P$31,Baseline!$P$23)</f>
        <v>626.18362874044828</v>
      </c>
      <c r="HG49" s="455" t="e">
        <f t="shared" si="14"/>
        <v>#DIV/0!</v>
      </c>
      <c r="HH49" s="429" t="e">
        <f>IF(HG49&lt;=Baseline!$J$13,1,0)</f>
        <v>#DIV/0!</v>
      </c>
      <c r="HI49" s="429">
        <f t="shared" si="15"/>
        <v>392105.93690255558</v>
      </c>
      <c r="HJ49" s="429">
        <f t="shared" si="16"/>
        <v>48910903.069173105</v>
      </c>
      <c r="HK49" s="429">
        <f t="shared" si="17"/>
        <v>58061606.033611111</v>
      </c>
      <c r="HL49" s="429" t="str">
        <f>IF(HM49=Reference!$I$12,(HF49-GV49),"")</f>
        <v/>
      </c>
      <c r="HM49" s="429" t="str">
        <f>Reference!I49</f>
        <v/>
      </c>
      <c r="HN49" s="429" t="str">
        <f t="shared" si="19"/>
        <v/>
      </c>
      <c r="HO49" s="453"/>
      <c r="HP49" s="453"/>
      <c r="HQ49" s="453"/>
      <c r="HR49" s="453"/>
      <c r="HS49" s="465"/>
      <c r="HT49" s="453"/>
      <c r="HZ49" s="463"/>
      <c r="IA49" s="464"/>
      <c r="IB49" s="459"/>
      <c r="IE49" s="458"/>
    </row>
    <row r="50" spans="189:239" ht="17.25" customHeight="1" x14ac:dyDescent="0.35">
      <c r="GG50" s="432"/>
      <c r="GJ50" s="429" t="str">
        <f>IF(GK50=$GJ$15,$GJ$15,IF(GJ$24=HF$4,SUM(GK$25:GK50),SUM(GL$25:GL50)))</f>
        <v>N</v>
      </c>
      <c r="GK50" s="438" t="str">
        <f>IFERROR('!!'!G50-'!!'!D50,$GJ$15)</f>
        <v>N</v>
      </c>
      <c r="GL50" s="429" t="str">
        <f t="shared" si="12"/>
        <v>N</v>
      </c>
      <c r="GM50" s="438">
        <f>IFERROR(('!!'!$D50)*('!!'!W50/('!!'!$G50)),0)</f>
        <v>0</v>
      </c>
      <c r="GN50" s="438">
        <f>IFERROR(('!!'!$D50)*('!!'!X50/('!!'!$G50)),0)</f>
        <v>0</v>
      </c>
      <c r="GO50" s="438">
        <f>IFERROR(('!!'!$D50)*('!!'!Y50/('!!'!$G50)),0)</f>
        <v>0</v>
      </c>
      <c r="GP50" s="438">
        <f>IFERROR(('!!'!$D50)*('!!'!Z49/('!!'!$G50)),0)</f>
        <v>0</v>
      </c>
      <c r="GQ50" s="438">
        <f>IFERROR(('!!'!$D50)*('!!'!Q50/('!!'!$G50)),0)</f>
        <v>0</v>
      </c>
      <c r="GR50" s="429">
        <v>1</v>
      </c>
      <c r="GS50" s="429">
        <v>2</v>
      </c>
      <c r="GT50" s="432">
        <f>Monitoring!C50</f>
        <v>0</v>
      </c>
      <c r="GU50" s="432">
        <f>Reference!$C50</f>
        <v>0</v>
      </c>
      <c r="GV50" s="429">
        <f>Reference!$D50</f>
        <v>0</v>
      </c>
      <c r="GW50" s="440">
        <f t="shared" si="20"/>
        <v>0</v>
      </c>
      <c r="GX50" s="440">
        <f t="shared" si="20"/>
        <v>0</v>
      </c>
      <c r="GY50" s="440">
        <f t="shared" si="20"/>
        <v>0</v>
      </c>
      <c r="GZ50" s="440">
        <f t="shared" si="20"/>
        <v>0</v>
      </c>
      <c r="HA50" s="440"/>
      <c r="HB50" s="440"/>
      <c r="HC50" s="440"/>
      <c r="HD50" s="440"/>
      <c r="HE50" s="429">
        <f t="shared" si="13"/>
        <v>26</v>
      </c>
      <c r="HF50" s="429">
        <f>SUM(GW50*Baseline!$P$24,GX50*Baseline!$P$25,GY50*Baseline!$P$26,GZ50*Baseline!$P$27,HA50*Baseline!$P$28,HB50*Baseline!$P$29,HC50*Baseline!$P$30,HD50*Baseline!$P$31,Baseline!$P$23)</f>
        <v>626.18362874044828</v>
      </c>
      <c r="HG50" s="455" t="e">
        <f t="shared" si="14"/>
        <v>#DIV/0!</v>
      </c>
      <c r="HH50" s="429" t="e">
        <f>IF(HG50&lt;=Baseline!$J$13,1,0)</f>
        <v>#DIV/0!</v>
      </c>
      <c r="HI50" s="429">
        <f t="shared" si="15"/>
        <v>392105.93690255558</v>
      </c>
      <c r="HJ50" s="429">
        <f t="shared" si="16"/>
        <v>48910903.069173105</v>
      </c>
      <c r="HK50" s="429">
        <f t="shared" si="17"/>
        <v>58061606.033611111</v>
      </c>
      <c r="HL50" s="429" t="str">
        <f>IF(HM50=Reference!$I$12,(HF50-GV50),"")</f>
        <v/>
      </c>
      <c r="HM50" s="429" t="str">
        <f>Reference!I50</f>
        <v/>
      </c>
      <c r="HN50" s="429" t="str">
        <f t="shared" si="19"/>
        <v/>
      </c>
      <c r="HO50" s="453"/>
      <c r="HP50" s="453"/>
      <c r="HQ50" s="453"/>
      <c r="HR50" s="453"/>
      <c r="HS50" s="465"/>
      <c r="HT50" s="453"/>
      <c r="HZ50" s="463"/>
      <c r="IA50" s="464"/>
      <c r="IB50" s="459"/>
      <c r="IE50" s="458"/>
    </row>
    <row r="51" spans="189:239" ht="17.25" customHeight="1" x14ac:dyDescent="0.35">
      <c r="GG51" s="432"/>
      <c r="GJ51" s="429" t="str">
        <f>IF(GK51=$GJ$15,$GJ$15,IF(GJ$24=HF$4,SUM(GK$25:GK51),SUM(GL$25:GL51)))</f>
        <v>N</v>
      </c>
      <c r="GK51" s="438" t="str">
        <f>IFERROR('!!'!G51-'!!'!D51,$GJ$15)</f>
        <v>N</v>
      </c>
      <c r="GL51" s="429" t="str">
        <f t="shared" si="12"/>
        <v>N</v>
      </c>
      <c r="GM51" s="438">
        <f>IFERROR(('!!'!$D51)*('!!'!W51/('!!'!$G51)),0)</f>
        <v>0</v>
      </c>
      <c r="GN51" s="438">
        <f>IFERROR(('!!'!$D51)*('!!'!X51/('!!'!$G51)),0)</f>
        <v>0</v>
      </c>
      <c r="GO51" s="438">
        <f>IFERROR(('!!'!$D51)*('!!'!Y51/('!!'!$G51)),0)</f>
        <v>0</v>
      </c>
      <c r="GP51" s="438">
        <f>IFERROR(('!!'!$D51)*('!!'!Z50/('!!'!$G51)),0)</f>
        <v>0</v>
      </c>
      <c r="GQ51" s="438">
        <f>IFERROR(('!!'!$D51)*('!!'!Q51/('!!'!$G51)),0)</f>
        <v>0</v>
      </c>
      <c r="GR51" s="429">
        <v>1</v>
      </c>
      <c r="GS51" s="429">
        <v>2</v>
      </c>
      <c r="GT51" s="432">
        <f>Monitoring!C51</f>
        <v>0</v>
      </c>
      <c r="GU51" s="432">
        <f>Reference!$C51</f>
        <v>0</v>
      </c>
      <c r="GV51" s="429">
        <f>Reference!$D51</f>
        <v>0</v>
      </c>
      <c r="GW51" s="440">
        <f t="shared" si="20"/>
        <v>0</v>
      </c>
      <c r="GX51" s="440">
        <f t="shared" si="20"/>
        <v>0</v>
      </c>
      <c r="GY51" s="440">
        <f t="shared" si="20"/>
        <v>0</v>
      </c>
      <c r="GZ51" s="440">
        <f t="shared" si="20"/>
        <v>0</v>
      </c>
      <c r="HA51" s="440"/>
      <c r="HB51" s="440"/>
      <c r="HC51" s="440"/>
      <c r="HD51" s="440"/>
      <c r="HE51" s="429">
        <f t="shared" si="13"/>
        <v>27</v>
      </c>
      <c r="HF51" s="429">
        <f>SUM(GW51*Baseline!$P$24,GX51*Baseline!$P$25,GY51*Baseline!$P$26,GZ51*Baseline!$P$27,HA51*Baseline!$P$28,HB51*Baseline!$P$29,HC51*Baseline!$P$30,HD51*Baseline!$P$31,Baseline!$P$23)</f>
        <v>626.18362874044828</v>
      </c>
      <c r="HG51" s="455" t="e">
        <f t="shared" si="14"/>
        <v>#DIV/0!</v>
      </c>
      <c r="HH51" s="429" t="e">
        <f>IF(HG51&lt;=Baseline!$J$13,1,0)</f>
        <v>#DIV/0!</v>
      </c>
      <c r="HI51" s="429">
        <f t="shared" si="15"/>
        <v>392105.93690255558</v>
      </c>
      <c r="HJ51" s="429">
        <f t="shared" si="16"/>
        <v>48910903.069173105</v>
      </c>
      <c r="HK51" s="429">
        <f t="shared" si="17"/>
        <v>58061606.033611111</v>
      </c>
      <c r="HL51" s="429" t="str">
        <f>IF(HM51=Reference!$I$12,(HF51-GV51),"")</f>
        <v/>
      </c>
      <c r="HM51" s="429" t="str">
        <f>Reference!I51</f>
        <v/>
      </c>
      <c r="HN51" s="429" t="str">
        <f t="shared" si="19"/>
        <v/>
      </c>
      <c r="HO51" s="453"/>
      <c r="HP51" s="453"/>
      <c r="HQ51" s="453"/>
      <c r="HR51" s="453"/>
      <c r="HS51" s="465"/>
      <c r="HT51" s="453"/>
      <c r="HZ51" s="463"/>
      <c r="IA51" s="464"/>
      <c r="IB51" s="459"/>
      <c r="IE51" s="458"/>
    </row>
    <row r="52" spans="189:239" ht="17.25" customHeight="1" x14ac:dyDescent="0.35">
      <c r="GG52" s="432"/>
      <c r="GJ52" s="429" t="str">
        <f>IF(GK52=$GJ$15,$GJ$15,IF(GJ$24=HF$4,SUM(GK$25:GK52),SUM(GL$25:GL52)))</f>
        <v>N</v>
      </c>
      <c r="GK52" s="438" t="str">
        <f>IFERROR('!!'!G52-'!!'!D52,$GJ$15)</f>
        <v>N</v>
      </c>
      <c r="GL52" s="429" t="str">
        <f t="shared" si="12"/>
        <v>N</v>
      </c>
      <c r="GM52" s="438">
        <f>IFERROR(('!!'!$D52)*('!!'!W52/('!!'!$G52)),0)</f>
        <v>0</v>
      </c>
      <c r="GN52" s="438">
        <f>IFERROR(('!!'!$D52)*('!!'!X52/('!!'!$G52)),0)</f>
        <v>0</v>
      </c>
      <c r="GO52" s="438">
        <f>IFERROR(('!!'!$D52)*('!!'!Y52/('!!'!$G52)),0)</f>
        <v>0</v>
      </c>
      <c r="GP52" s="438">
        <f>IFERROR(('!!'!$D52)*('!!'!Z51/('!!'!$G52)),0)</f>
        <v>0</v>
      </c>
      <c r="GQ52" s="438">
        <f>IFERROR(('!!'!$D52)*('!!'!Q52/('!!'!$G52)),0)</f>
        <v>0</v>
      </c>
      <c r="GR52" s="429">
        <v>1</v>
      </c>
      <c r="GS52" s="429">
        <v>2</v>
      </c>
      <c r="GT52" s="432">
        <f>Monitoring!C52</f>
        <v>0</v>
      </c>
      <c r="GU52" s="432">
        <f>Reference!$C52</f>
        <v>0</v>
      </c>
      <c r="GV52" s="429">
        <f>Reference!$D52</f>
        <v>0</v>
      </c>
      <c r="GW52" s="440">
        <f t="shared" si="20"/>
        <v>0</v>
      </c>
      <c r="GX52" s="440">
        <f t="shared" si="20"/>
        <v>0</v>
      </c>
      <c r="GY52" s="440">
        <f t="shared" si="20"/>
        <v>0</v>
      </c>
      <c r="GZ52" s="440">
        <f t="shared" si="20"/>
        <v>0</v>
      </c>
      <c r="HA52" s="440"/>
      <c r="HB52" s="440"/>
      <c r="HC52" s="440"/>
      <c r="HD52" s="440"/>
      <c r="HE52" s="429">
        <f t="shared" si="13"/>
        <v>28</v>
      </c>
      <c r="HF52" s="429">
        <f>SUM(GW52*Baseline!$P$24,GX52*Baseline!$P$25,GY52*Baseline!$P$26,GZ52*Baseline!$P$27,HA52*Baseline!$P$28,HB52*Baseline!$P$29,HC52*Baseline!$P$30,HD52*Baseline!$P$31,Baseline!$P$23)</f>
        <v>626.18362874044828</v>
      </c>
      <c r="HG52" s="455" t="e">
        <f t="shared" si="14"/>
        <v>#DIV/0!</v>
      </c>
      <c r="HH52" s="429" t="e">
        <f>IF(HG52&lt;=Baseline!$J$13,1,0)</f>
        <v>#DIV/0!</v>
      </c>
      <c r="HI52" s="429">
        <f t="shared" si="15"/>
        <v>392105.93690255558</v>
      </c>
      <c r="HJ52" s="429">
        <f t="shared" si="16"/>
        <v>48910903.069173105</v>
      </c>
      <c r="HK52" s="429">
        <f t="shared" si="17"/>
        <v>58061606.033611111</v>
      </c>
      <c r="HL52" s="429" t="str">
        <f>IF(HM52=Reference!$I$12,(HF52-GV52),"")</f>
        <v/>
      </c>
      <c r="HM52" s="429" t="str">
        <f>Reference!I52</f>
        <v/>
      </c>
      <c r="HN52" s="429" t="str">
        <f t="shared" si="19"/>
        <v/>
      </c>
      <c r="HO52" s="453"/>
      <c r="HP52" s="453"/>
      <c r="HQ52" s="453"/>
      <c r="HR52" s="453"/>
      <c r="HS52" s="465"/>
      <c r="HT52" s="453"/>
      <c r="HZ52" s="463"/>
      <c r="IA52" s="464"/>
      <c r="IB52" s="459"/>
      <c r="IE52" s="458"/>
    </row>
    <row r="53" spans="189:239" ht="17.25" customHeight="1" x14ac:dyDescent="0.35">
      <c r="GG53" s="432"/>
      <c r="GJ53" s="429" t="str">
        <f>IF(GK53=$GJ$15,$GJ$15,IF(GJ$24=HF$4,SUM(GK$25:GK53),SUM(GL$25:GL53)))</f>
        <v>N</v>
      </c>
      <c r="GK53" s="438" t="str">
        <f>IFERROR('!!'!G53-'!!'!D53,$GJ$15)</f>
        <v>N</v>
      </c>
      <c r="GL53" s="429" t="str">
        <f t="shared" si="12"/>
        <v>N</v>
      </c>
      <c r="GM53" s="438">
        <f>IFERROR(('!!'!$D53)*('!!'!W53/('!!'!$G53)),0)</f>
        <v>0</v>
      </c>
      <c r="GN53" s="438">
        <f>IFERROR(('!!'!$D53)*('!!'!X53/('!!'!$G53)),0)</f>
        <v>0</v>
      </c>
      <c r="GO53" s="438">
        <f>IFERROR(('!!'!$D53)*('!!'!Y53/('!!'!$G53)),0)</f>
        <v>0</v>
      </c>
      <c r="GP53" s="438">
        <f>IFERROR(('!!'!$D53)*('!!'!Z52/('!!'!$G53)),0)</f>
        <v>0</v>
      </c>
      <c r="GQ53" s="438">
        <f>IFERROR(('!!'!$D53)*('!!'!Q53/('!!'!$G53)),0)</f>
        <v>0</v>
      </c>
      <c r="GR53" s="429">
        <v>1</v>
      </c>
      <c r="GS53" s="429">
        <v>2</v>
      </c>
      <c r="GT53" s="432">
        <f>Monitoring!C53</f>
        <v>0</v>
      </c>
      <c r="GU53" s="432">
        <f>Reference!$C53</f>
        <v>0</v>
      </c>
      <c r="GV53" s="429">
        <f>Reference!$D53</f>
        <v>0</v>
      </c>
      <c r="GW53" s="440">
        <f t="shared" si="20"/>
        <v>0</v>
      </c>
      <c r="GX53" s="440">
        <f t="shared" si="20"/>
        <v>0</v>
      </c>
      <c r="GY53" s="440">
        <f t="shared" si="20"/>
        <v>0</v>
      </c>
      <c r="GZ53" s="440">
        <f t="shared" si="20"/>
        <v>0</v>
      </c>
      <c r="HA53" s="440"/>
      <c r="HB53" s="440"/>
      <c r="HC53" s="440"/>
      <c r="HD53" s="440"/>
      <c r="HE53" s="429">
        <f t="shared" si="13"/>
        <v>29</v>
      </c>
      <c r="HF53" s="429">
        <f>SUM(GW53*Baseline!$P$24,GX53*Baseline!$P$25,GY53*Baseline!$P$26,GZ53*Baseline!$P$27,HA53*Baseline!$P$28,HB53*Baseline!$P$29,HC53*Baseline!$P$30,HD53*Baseline!$P$31,Baseline!$P$23)</f>
        <v>626.18362874044828</v>
      </c>
      <c r="HG53" s="455" t="e">
        <f t="shared" si="14"/>
        <v>#DIV/0!</v>
      </c>
      <c r="HH53" s="429" t="e">
        <f>IF(HG53&lt;=Baseline!$J$13,1,0)</f>
        <v>#DIV/0!</v>
      </c>
      <c r="HI53" s="429">
        <f t="shared" si="15"/>
        <v>392105.93690255558</v>
      </c>
      <c r="HJ53" s="429">
        <f t="shared" si="16"/>
        <v>48910903.069173105</v>
      </c>
      <c r="HK53" s="429">
        <f t="shared" si="17"/>
        <v>58061606.033611111</v>
      </c>
      <c r="HL53" s="429" t="str">
        <f>IF(HM53=Reference!$I$12,(HF53-GV53),"")</f>
        <v/>
      </c>
      <c r="HM53" s="429" t="str">
        <f>Reference!I53</f>
        <v/>
      </c>
      <c r="HN53" s="429" t="str">
        <f t="shared" si="19"/>
        <v/>
      </c>
      <c r="HO53" s="453"/>
      <c r="HP53" s="453"/>
      <c r="HQ53" s="453"/>
      <c r="HR53" s="453"/>
      <c r="HS53" s="465"/>
      <c r="HT53" s="453"/>
      <c r="HZ53" s="463"/>
      <c r="IA53" s="464"/>
      <c r="IB53" s="459"/>
      <c r="IE53" s="458"/>
    </row>
    <row r="54" spans="189:239" ht="17.25" customHeight="1" x14ac:dyDescent="0.35">
      <c r="GG54" s="432"/>
      <c r="GJ54" s="429" t="str">
        <f>IF(GK54=$GJ$15,$GJ$15,IF(GJ$24=HF$4,SUM(GK$25:GK54),SUM(GL$25:GL54)))</f>
        <v>N</v>
      </c>
      <c r="GK54" s="438" t="str">
        <f>IFERROR('!!'!G54-'!!'!D54,$GJ$15)</f>
        <v>N</v>
      </c>
      <c r="GL54" s="429" t="str">
        <f t="shared" si="12"/>
        <v>N</v>
      </c>
      <c r="GM54" s="438">
        <f>IFERROR(('!!'!$D54)*('!!'!W54/('!!'!$G54)),0)</f>
        <v>0</v>
      </c>
      <c r="GN54" s="438">
        <f>IFERROR(('!!'!$D54)*('!!'!X54/('!!'!$G54)),0)</f>
        <v>0</v>
      </c>
      <c r="GO54" s="438">
        <f>IFERROR(('!!'!$D54)*('!!'!Y54/('!!'!$G54)),0)</f>
        <v>0</v>
      </c>
      <c r="GP54" s="438">
        <f>IFERROR(('!!'!$D54)*('!!'!Z53/('!!'!$G54)),0)</f>
        <v>0</v>
      </c>
      <c r="GQ54" s="438">
        <f>IFERROR(('!!'!$D54)*('!!'!Q54/('!!'!$G54)),0)</f>
        <v>0</v>
      </c>
      <c r="GR54" s="429">
        <v>1</v>
      </c>
      <c r="GS54" s="429">
        <v>2</v>
      </c>
      <c r="GT54" s="432">
        <f>Monitoring!C54</f>
        <v>0</v>
      </c>
      <c r="GU54" s="432">
        <f>Reference!$C54</f>
        <v>0</v>
      </c>
      <c r="GV54" s="429">
        <f>Reference!$D54</f>
        <v>0</v>
      </c>
      <c r="GW54" s="440">
        <f t="shared" si="20"/>
        <v>0</v>
      </c>
      <c r="GX54" s="440">
        <f t="shared" si="20"/>
        <v>0</v>
      </c>
      <c r="GY54" s="440">
        <f t="shared" si="20"/>
        <v>0</v>
      </c>
      <c r="GZ54" s="440">
        <f t="shared" si="20"/>
        <v>0</v>
      </c>
      <c r="HA54" s="440"/>
      <c r="HB54" s="440"/>
      <c r="HC54" s="440"/>
      <c r="HD54" s="440"/>
      <c r="HE54" s="429">
        <f t="shared" si="13"/>
        <v>30</v>
      </c>
      <c r="HF54" s="429">
        <f>SUM(GW54*Baseline!$P$24,GX54*Baseline!$P$25,GY54*Baseline!$P$26,GZ54*Baseline!$P$27,HA54*Baseline!$P$28,HB54*Baseline!$P$29,HC54*Baseline!$P$30,HD54*Baseline!$P$31,Baseline!$P$23)</f>
        <v>626.18362874044828</v>
      </c>
      <c r="HG54" s="455" t="e">
        <f t="shared" si="14"/>
        <v>#DIV/0!</v>
      </c>
      <c r="HH54" s="429" t="e">
        <f>IF(HG54&lt;=Baseline!$J$13,1,0)</f>
        <v>#DIV/0!</v>
      </c>
      <c r="HI54" s="429">
        <f t="shared" si="15"/>
        <v>392105.93690255558</v>
      </c>
      <c r="HJ54" s="429">
        <f t="shared" si="16"/>
        <v>48910903.069173105</v>
      </c>
      <c r="HK54" s="429">
        <f t="shared" si="17"/>
        <v>58061606.033611111</v>
      </c>
      <c r="HL54" s="429" t="str">
        <f>IF(HM54=Reference!$I$12,(HF54-GV54),"")</f>
        <v/>
      </c>
      <c r="HM54" s="429" t="str">
        <f>Reference!I54</f>
        <v/>
      </c>
      <c r="HN54" s="429" t="str">
        <f t="shared" si="19"/>
        <v/>
      </c>
      <c r="HO54" s="453"/>
      <c r="HP54" s="453"/>
      <c r="HQ54" s="453"/>
      <c r="HR54" s="453"/>
      <c r="HS54" s="465"/>
      <c r="HT54" s="453"/>
      <c r="HZ54" s="463"/>
      <c r="IA54" s="464"/>
      <c r="IB54" s="459"/>
      <c r="IE54" s="458"/>
    </row>
    <row r="55" spans="189:239" ht="17.25" customHeight="1" x14ac:dyDescent="0.35">
      <c r="GG55" s="432"/>
      <c r="GJ55" s="429" t="str">
        <f>IF(GK55=$GJ$15,$GJ$15,IF(GJ$24=HF$4,SUM(GK$25:GK55),SUM(GL$25:GL55)))</f>
        <v>N</v>
      </c>
      <c r="GK55" s="438" t="str">
        <f>IFERROR('!!'!G55-'!!'!D55,$GJ$15)</f>
        <v>N</v>
      </c>
      <c r="GL55" s="429" t="str">
        <f t="shared" si="12"/>
        <v>N</v>
      </c>
      <c r="GM55" s="438">
        <f>IFERROR(('!!'!$D55)*('!!'!W55/('!!'!$G55)),0)</f>
        <v>0</v>
      </c>
      <c r="GN55" s="438">
        <f>IFERROR(('!!'!$D55)*('!!'!X55/('!!'!$G55)),0)</f>
        <v>0</v>
      </c>
      <c r="GO55" s="438">
        <f>IFERROR(('!!'!$D55)*('!!'!Y55/('!!'!$G55)),0)</f>
        <v>0</v>
      </c>
      <c r="GP55" s="438">
        <f>IFERROR(('!!'!$D55)*('!!'!Z54/('!!'!$G55)),0)</f>
        <v>0</v>
      </c>
      <c r="GQ55" s="438">
        <f>IFERROR(('!!'!$D55)*('!!'!Q55/('!!'!$G55)),0)</f>
        <v>0</v>
      </c>
      <c r="GR55" s="429">
        <v>1</v>
      </c>
      <c r="GS55" s="429">
        <v>2</v>
      </c>
      <c r="GT55" s="432">
        <f>Monitoring!C55</f>
        <v>0</v>
      </c>
      <c r="GU55" s="432">
        <f>Reference!$C55</f>
        <v>0</v>
      </c>
      <c r="GV55" s="429">
        <f>Reference!$D55</f>
        <v>0</v>
      </c>
      <c r="GW55" s="440">
        <f t="shared" ref="GW55:GZ64" si="21">IFERROR(VLOOKUP($GU55,Daten.B,GW$22,FALSE)^GW$23,0)</f>
        <v>0</v>
      </c>
      <c r="GX55" s="440">
        <f t="shared" si="21"/>
        <v>0</v>
      </c>
      <c r="GY55" s="440">
        <f t="shared" si="21"/>
        <v>0</v>
      </c>
      <c r="GZ55" s="440">
        <f t="shared" si="21"/>
        <v>0</v>
      </c>
      <c r="HA55" s="440"/>
      <c r="HB55" s="440"/>
      <c r="HC55" s="440"/>
      <c r="HD55" s="440"/>
      <c r="HE55" s="429">
        <f t="shared" si="13"/>
        <v>31</v>
      </c>
      <c r="HF55" s="429">
        <f>SUM(GW55*Baseline!$P$24,GX55*Baseline!$P$25,GY55*Baseline!$P$26,GZ55*Baseline!$P$27,HA55*Baseline!$P$28,HB55*Baseline!$P$29,HC55*Baseline!$P$30,HD55*Baseline!$P$31,Baseline!$P$23)</f>
        <v>626.18362874044828</v>
      </c>
      <c r="HG55" s="455" t="e">
        <f t="shared" si="14"/>
        <v>#DIV/0!</v>
      </c>
      <c r="HH55" s="429" t="e">
        <f>IF(HG55&lt;=Baseline!$J$13,1,0)</f>
        <v>#DIV/0!</v>
      </c>
      <c r="HI55" s="429">
        <f t="shared" si="15"/>
        <v>392105.93690255558</v>
      </c>
      <c r="HJ55" s="429">
        <f t="shared" si="16"/>
        <v>48910903.069173105</v>
      </c>
      <c r="HK55" s="429">
        <f t="shared" si="17"/>
        <v>58061606.033611111</v>
      </c>
      <c r="HL55" s="429" t="str">
        <f>IF(HM55=Reference!$I$12,(HF55-GV55),"")</f>
        <v/>
      </c>
      <c r="HM55" s="429" t="str">
        <f>Reference!I55</f>
        <v/>
      </c>
      <c r="HN55" s="429" t="str">
        <f t="shared" si="19"/>
        <v/>
      </c>
      <c r="HO55" s="453"/>
      <c r="HP55" s="453"/>
      <c r="HQ55" s="453"/>
      <c r="HR55" s="453"/>
      <c r="HS55" s="465"/>
      <c r="HT55" s="453"/>
      <c r="HZ55" s="463"/>
      <c r="IA55" s="464"/>
      <c r="IB55" s="459"/>
      <c r="IE55" s="458"/>
    </row>
    <row r="56" spans="189:239" ht="17.25" customHeight="1" x14ac:dyDescent="0.35">
      <c r="GG56" s="432"/>
      <c r="GJ56" s="429" t="str">
        <f>IF(GK56=$GJ$15,$GJ$15,IF(GJ$24=HF$4,SUM(GK$25:GK56),SUM(GL$25:GL56)))</f>
        <v>N</v>
      </c>
      <c r="GK56" s="438" t="str">
        <f>IFERROR('!!'!G56-'!!'!D56,$GJ$15)</f>
        <v>N</v>
      </c>
      <c r="GL56" s="429" t="str">
        <f t="shared" si="12"/>
        <v>N</v>
      </c>
      <c r="GM56" s="438">
        <f>IFERROR(('!!'!$D56)*('!!'!W56/('!!'!$G56)),0)</f>
        <v>0</v>
      </c>
      <c r="GN56" s="438">
        <f>IFERROR(('!!'!$D56)*('!!'!X56/('!!'!$G56)),0)</f>
        <v>0</v>
      </c>
      <c r="GO56" s="438">
        <f>IFERROR(('!!'!$D56)*('!!'!Y56/('!!'!$G56)),0)</f>
        <v>0</v>
      </c>
      <c r="GP56" s="438">
        <f>IFERROR(('!!'!$D56)*('!!'!Z55/('!!'!$G56)),0)</f>
        <v>0</v>
      </c>
      <c r="GQ56" s="438">
        <f>IFERROR(('!!'!$D56)*('!!'!Q56/('!!'!$G56)),0)</f>
        <v>0</v>
      </c>
      <c r="GR56" s="429">
        <v>1</v>
      </c>
      <c r="GS56" s="429">
        <v>2</v>
      </c>
      <c r="GT56" s="432">
        <f>Monitoring!C56</f>
        <v>0</v>
      </c>
      <c r="GU56" s="432">
        <f>Reference!$C56</f>
        <v>0</v>
      </c>
      <c r="GV56" s="429">
        <f>Reference!$D56</f>
        <v>0</v>
      </c>
      <c r="GW56" s="440">
        <f t="shared" si="21"/>
        <v>0</v>
      </c>
      <c r="GX56" s="440">
        <f t="shared" si="21"/>
        <v>0</v>
      </c>
      <c r="GY56" s="440">
        <f t="shared" si="21"/>
        <v>0</v>
      </c>
      <c r="GZ56" s="440">
        <f t="shared" si="21"/>
        <v>0</v>
      </c>
      <c r="HA56" s="440"/>
      <c r="HB56" s="440"/>
      <c r="HC56" s="440"/>
      <c r="HD56" s="440"/>
      <c r="HE56" s="429">
        <f t="shared" si="13"/>
        <v>32</v>
      </c>
      <c r="HF56" s="429">
        <f>SUM(GW56*Baseline!$P$24,GX56*Baseline!$P$25,GY56*Baseline!$P$26,GZ56*Baseline!$P$27,HA56*Baseline!$P$28,HB56*Baseline!$P$29,HC56*Baseline!$P$30,HD56*Baseline!$P$31,Baseline!$P$23)</f>
        <v>626.18362874044828</v>
      </c>
      <c r="HG56" s="455" t="e">
        <f t="shared" si="14"/>
        <v>#DIV/0!</v>
      </c>
      <c r="HH56" s="429" t="e">
        <f>IF(HG56&lt;=Baseline!$J$13,1,0)</f>
        <v>#DIV/0!</v>
      </c>
      <c r="HI56" s="429">
        <f t="shared" si="15"/>
        <v>392105.93690255558</v>
      </c>
      <c r="HJ56" s="429">
        <f t="shared" si="16"/>
        <v>48910903.069173105</v>
      </c>
      <c r="HK56" s="429">
        <f t="shared" si="17"/>
        <v>58061606.033611111</v>
      </c>
      <c r="HL56" s="429" t="str">
        <f>IF(HM56=Reference!$I$12,(HF56-GV56),"")</f>
        <v/>
      </c>
      <c r="HM56" s="429" t="str">
        <f>Reference!I56</f>
        <v/>
      </c>
      <c r="HN56" s="429" t="str">
        <f t="shared" si="19"/>
        <v/>
      </c>
      <c r="HO56" s="453"/>
      <c r="HP56" s="453"/>
      <c r="HQ56" s="453"/>
      <c r="HR56" s="465"/>
      <c r="HS56" s="453"/>
      <c r="HT56" s="453"/>
    </row>
    <row r="57" spans="189:239" ht="17.25" customHeight="1" x14ac:dyDescent="0.35">
      <c r="GG57" s="432"/>
      <c r="GJ57" s="429" t="str">
        <f>IF(GK57=$GJ$15,$GJ$15,IF(GJ$24=HF$4,SUM(GK$25:GK57),SUM(GL$25:GL57)))</f>
        <v>N</v>
      </c>
      <c r="GK57" s="438" t="str">
        <f>IFERROR('!!'!G57-'!!'!D57,$GJ$15)</f>
        <v>N</v>
      </c>
      <c r="GL57" s="429" t="str">
        <f t="shared" si="12"/>
        <v>N</v>
      </c>
      <c r="GM57" s="438">
        <f>IFERROR(('!!'!$D57)*('!!'!W57/('!!'!$G57)),0)</f>
        <v>0</v>
      </c>
      <c r="GN57" s="438">
        <f>IFERROR(('!!'!$D57)*('!!'!X57/('!!'!$G57)),0)</f>
        <v>0</v>
      </c>
      <c r="GO57" s="438">
        <f>IFERROR(('!!'!$D57)*('!!'!Y57/('!!'!$G57)),0)</f>
        <v>0</v>
      </c>
      <c r="GP57" s="438">
        <f>IFERROR(('!!'!$D57)*('!!'!Z56/('!!'!$G57)),0)</f>
        <v>0</v>
      </c>
      <c r="GQ57" s="438">
        <f>IFERROR(('!!'!$D57)*('!!'!Q57/('!!'!$G57)),0)</f>
        <v>0</v>
      </c>
      <c r="GR57" s="429">
        <v>1</v>
      </c>
      <c r="GS57" s="429">
        <v>2</v>
      </c>
      <c r="GT57" s="432">
        <f>Monitoring!C57</f>
        <v>0</v>
      </c>
      <c r="GU57" s="432">
        <f>Reference!$C57</f>
        <v>0</v>
      </c>
      <c r="GV57" s="429">
        <f>Reference!$D57</f>
        <v>0</v>
      </c>
      <c r="GW57" s="440">
        <f t="shared" si="21"/>
        <v>0</v>
      </c>
      <c r="GX57" s="440">
        <f t="shared" si="21"/>
        <v>0</v>
      </c>
      <c r="GY57" s="440">
        <f t="shared" si="21"/>
        <v>0</v>
      </c>
      <c r="GZ57" s="440">
        <f t="shared" si="21"/>
        <v>0</v>
      </c>
      <c r="HA57" s="440"/>
      <c r="HB57" s="440"/>
      <c r="HC57" s="440"/>
      <c r="HD57" s="440"/>
      <c r="HE57" s="429">
        <f t="shared" si="13"/>
        <v>33</v>
      </c>
      <c r="HF57" s="429">
        <f>SUM(GW57*Baseline!$P$24,GX57*Baseline!$P$25,GY57*Baseline!$P$26,GZ57*Baseline!$P$27,HA57*Baseline!$P$28,HB57*Baseline!$P$29,HC57*Baseline!$P$30,HD57*Baseline!$P$31,Baseline!$P$23)</f>
        <v>626.18362874044828</v>
      </c>
      <c r="HG57" s="455" t="e">
        <f t="shared" si="14"/>
        <v>#DIV/0!</v>
      </c>
      <c r="HH57" s="429" t="e">
        <f>IF(HG57&lt;=Baseline!$J$13,1,0)</f>
        <v>#DIV/0!</v>
      </c>
      <c r="HI57" s="429">
        <f t="shared" si="15"/>
        <v>392105.93690255558</v>
      </c>
      <c r="HJ57" s="429">
        <f t="shared" si="16"/>
        <v>48910903.069173105</v>
      </c>
      <c r="HK57" s="429">
        <f t="shared" si="17"/>
        <v>58061606.033611111</v>
      </c>
      <c r="HL57" s="429" t="str">
        <f>IF(HM57=Reference!$I$12,(HF57-GV57),"")</f>
        <v/>
      </c>
      <c r="HM57" s="429" t="str">
        <f>Reference!I57</f>
        <v/>
      </c>
      <c r="HN57" s="429" t="str">
        <f t="shared" si="19"/>
        <v/>
      </c>
      <c r="HO57" s="453"/>
      <c r="HP57" s="453"/>
      <c r="HQ57" s="453"/>
      <c r="HR57" s="465"/>
      <c r="HS57" s="453"/>
      <c r="HT57" s="453"/>
    </row>
    <row r="58" spans="189:239" ht="17.25" customHeight="1" x14ac:dyDescent="0.35">
      <c r="GG58" s="432"/>
      <c r="GJ58" s="429" t="str">
        <f>IF(GK58=$GJ$15,$GJ$15,IF(GJ$24=HF$4,SUM(GK$25:GK58),SUM(GL$25:GL58)))</f>
        <v>N</v>
      </c>
      <c r="GK58" s="438" t="str">
        <f>IFERROR('!!'!G58-'!!'!D58,$GJ$15)</f>
        <v>N</v>
      </c>
      <c r="GL58" s="429" t="str">
        <f t="shared" si="12"/>
        <v>N</v>
      </c>
      <c r="GM58" s="438">
        <f>IFERROR(('!!'!$D58)*('!!'!W58/('!!'!$G58)),0)</f>
        <v>0</v>
      </c>
      <c r="GN58" s="438">
        <f>IFERROR(('!!'!$D58)*('!!'!X58/('!!'!$G58)),0)</f>
        <v>0</v>
      </c>
      <c r="GO58" s="438">
        <f>IFERROR(('!!'!$D58)*('!!'!Y58/('!!'!$G58)),0)</f>
        <v>0</v>
      </c>
      <c r="GP58" s="438">
        <f>IFERROR(('!!'!$D58)*('!!'!Z57/('!!'!$G58)),0)</f>
        <v>0</v>
      </c>
      <c r="GQ58" s="438">
        <f>IFERROR(('!!'!$D58)*('!!'!Q58/('!!'!$G58)),0)</f>
        <v>0</v>
      </c>
      <c r="GR58" s="429">
        <v>1</v>
      </c>
      <c r="GS58" s="429">
        <v>2</v>
      </c>
      <c r="GT58" s="432">
        <f>Monitoring!C58</f>
        <v>0</v>
      </c>
      <c r="GU58" s="432">
        <f>Reference!$C58</f>
        <v>0</v>
      </c>
      <c r="GV58" s="429">
        <f>Reference!$D58</f>
        <v>0</v>
      </c>
      <c r="GW58" s="440">
        <f t="shared" si="21"/>
        <v>0</v>
      </c>
      <c r="GX58" s="440">
        <f t="shared" si="21"/>
        <v>0</v>
      </c>
      <c r="GY58" s="440">
        <f t="shared" si="21"/>
        <v>0</v>
      </c>
      <c r="GZ58" s="440">
        <f t="shared" si="21"/>
        <v>0</v>
      </c>
      <c r="HA58" s="440"/>
      <c r="HB58" s="440"/>
      <c r="HC58" s="440"/>
      <c r="HD58" s="440"/>
      <c r="HE58" s="429">
        <f t="shared" si="13"/>
        <v>34</v>
      </c>
      <c r="HF58" s="429">
        <f>SUM(GW58*Baseline!$P$24,GX58*Baseline!$P$25,GY58*Baseline!$P$26,GZ58*Baseline!$P$27,HA58*Baseline!$P$28,HB58*Baseline!$P$29,HC58*Baseline!$P$30,HD58*Baseline!$P$31,Baseline!$P$23)</f>
        <v>626.18362874044828</v>
      </c>
      <c r="HG58" s="455" t="e">
        <f t="shared" si="14"/>
        <v>#DIV/0!</v>
      </c>
      <c r="HH58" s="429" t="e">
        <f>IF(HG58&lt;=Baseline!$J$13,1,0)</f>
        <v>#DIV/0!</v>
      </c>
      <c r="HI58" s="429">
        <f t="shared" si="15"/>
        <v>392105.93690255558</v>
      </c>
      <c r="HJ58" s="429">
        <f t="shared" si="16"/>
        <v>48910903.069173105</v>
      </c>
      <c r="HK58" s="429">
        <f t="shared" si="17"/>
        <v>58061606.033611111</v>
      </c>
      <c r="HL58" s="429" t="str">
        <f>IF(HM58=Reference!$I$12,(HF58-GV58),"")</f>
        <v/>
      </c>
      <c r="HM58" s="429" t="str">
        <f>Reference!I58</f>
        <v/>
      </c>
      <c r="HN58" s="429" t="str">
        <f t="shared" si="19"/>
        <v/>
      </c>
      <c r="HO58" s="453"/>
      <c r="HP58" s="453"/>
      <c r="HQ58" s="453"/>
      <c r="HR58" s="465"/>
      <c r="HS58" s="453"/>
      <c r="HT58" s="453"/>
    </row>
    <row r="59" spans="189:239" ht="17.25" customHeight="1" x14ac:dyDescent="0.35">
      <c r="GG59" s="432"/>
      <c r="GJ59" s="429" t="str">
        <f>IF(GK59=$GJ$15,$GJ$15,IF(GJ$24=HF$4,SUM(GK$25:GK59),SUM(GL$25:GL59)))</f>
        <v>N</v>
      </c>
      <c r="GK59" s="438" t="str">
        <f>IFERROR('!!'!G59-'!!'!D59,$GJ$15)</f>
        <v>N</v>
      </c>
      <c r="GL59" s="429" t="str">
        <f t="shared" si="12"/>
        <v>N</v>
      </c>
      <c r="GM59" s="438">
        <f>IFERROR(('!!'!$D59)*('!!'!W59/('!!'!$G59)),0)</f>
        <v>0</v>
      </c>
      <c r="GN59" s="438">
        <f>IFERROR(('!!'!$D59)*('!!'!X59/('!!'!$G59)),0)</f>
        <v>0</v>
      </c>
      <c r="GO59" s="438">
        <f>IFERROR(('!!'!$D59)*('!!'!Y59/('!!'!$G59)),0)</f>
        <v>0</v>
      </c>
      <c r="GP59" s="438">
        <f>IFERROR(('!!'!$D59)*('!!'!Z58/('!!'!$G59)),0)</f>
        <v>0</v>
      </c>
      <c r="GQ59" s="438">
        <f>IFERROR(('!!'!$D59)*('!!'!Q59/('!!'!$G59)),0)</f>
        <v>0</v>
      </c>
      <c r="GR59" s="429">
        <v>1</v>
      </c>
      <c r="GS59" s="429">
        <v>2</v>
      </c>
      <c r="GT59" s="432">
        <f>Monitoring!C59</f>
        <v>0</v>
      </c>
      <c r="GU59" s="432">
        <f>Reference!$C59</f>
        <v>0</v>
      </c>
      <c r="GV59" s="429">
        <f>Reference!$D59</f>
        <v>0</v>
      </c>
      <c r="GW59" s="440">
        <f t="shared" si="21"/>
        <v>0</v>
      </c>
      <c r="GX59" s="440">
        <f t="shared" si="21"/>
        <v>0</v>
      </c>
      <c r="GY59" s="440">
        <f t="shared" si="21"/>
        <v>0</v>
      </c>
      <c r="GZ59" s="440">
        <f t="shared" si="21"/>
        <v>0</v>
      </c>
      <c r="HA59" s="440"/>
      <c r="HB59" s="440"/>
      <c r="HC59" s="440"/>
      <c r="HD59" s="440"/>
      <c r="HE59" s="429">
        <f t="shared" si="13"/>
        <v>35</v>
      </c>
      <c r="HF59" s="429">
        <f>SUM(GW59*Baseline!$P$24,GX59*Baseline!$P$25,GY59*Baseline!$P$26,GZ59*Baseline!$P$27,HA59*Baseline!$P$28,HB59*Baseline!$P$29,HC59*Baseline!$P$30,HD59*Baseline!$P$31,Baseline!$P$23)</f>
        <v>626.18362874044828</v>
      </c>
      <c r="HG59" s="455" t="e">
        <f t="shared" si="14"/>
        <v>#DIV/0!</v>
      </c>
      <c r="HH59" s="429" t="e">
        <f>IF(HG59&lt;=Baseline!$J$13,1,0)</f>
        <v>#DIV/0!</v>
      </c>
      <c r="HI59" s="429">
        <f t="shared" si="15"/>
        <v>392105.93690255558</v>
      </c>
      <c r="HJ59" s="429">
        <f t="shared" si="16"/>
        <v>48910903.069173105</v>
      </c>
      <c r="HK59" s="429">
        <f t="shared" si="17"/>
        <v>58061606.033611111</v>
      </c>
      <c r="HL59" s="429" t="str">
        <f>IF(HM59=Reference!$I$12,(HF59-GV59),"")</f>
        <v/>
      </c>
      <c r="HM59" s="429" t="str">
        <f>Reference!I59</f>
        <v/>
      </c>
      <c r="HN59" s="429" t="str">
        <f t="shared" si="19"/>
        <v/>
      </c>
      <c r="HO59" s="453"/>
      <c r="HP59" s="453"/>
      <c r="HQ59" s="453"/>
      <c r="HR59" s="465"/>
      <c r="HS59" s="453"/>
      <c r="HT59" s="453"/>
    </row>
    <row r="60" spans="189:239" ht="17.25" customHeight="1" x14ac:dyDescent="0.35">
      <c r="GG60" s="432"/>
      <c r="GJ60" s="429" t="str">
        <f>IF(GK60=$GJ$15,$GJ$15,IF(GJ$24=HF$4,SUM(GK$25:GK60),SUM(GL$25:GL60)))</f>
        <v>N</v>
      </c>
      <c r="GK60" s="438" t="str">
        <f>IFERROR('!!'!G60-'!!'!D60,$GJ$15)</f>
        <v>N</v>
      </c>
      <c r="GL60" s="429" t="str">
        <f t="shared" si="12"/>
        <v>N</v>
      </c>
      <c r="GM60" s="438">
        <f>IFERROR(('!!'!$D60)*('!!'!W60/('!!'!$G60)),0)</f>
        <v>0</v>
      </c>
      <c r="GN60" s="438">
        <f>IFERROR(('!!'!$D60)*('!!'!X60/('!!'!$G60)),0)</f>
        <v>0</v>
      </c>
      <c r="GO60" s="438">
        <f>IFERROR(('!!'!$D60)*('!!'!Y60/('!!'!$G60)),0)</f>
        <v>0</v>
      </c>
      <c r="GP60" s="438">
        <f>IFERROR(('!!'!$D60)*('!!'!Z59/('!!'!$G60)),0)</f>
        <v>0</v>
      </c>
      <c r="GQ60" s="438">
        <f>IFERROR(('!!'!$D60)*('!!'!Q60/('!!'!$G60)),0)</f>
        <v>0</v>
      </c>
      <c r="GR60" s="429">
        <v>1</v>
      </c>
      <c r="GS60" s="429">
        <v>2</v>
      </c>
      <c r="GT60" s="432">
        <f>Monitoring!C60</f>
        <v>0</v>
      </c>
      <c r="GU60" s="432">
        <f>Reference!$C60</f>
        <v>0</v>
      </c>
      <c r="GV60" s="429">
        <f>Reference!$D60</f>
        <v>0</v>
      </c>
      <c r="GW60" s="440">
        <f t="shared" si="21"/>
        <v>0</v>
      </c>
      <c r="GX60" s="440">
        <f t="shared" si="21"/>
        <v>0</v>
      </c>
      <c r="GY60" s="440">
        <f t="shared" si="21"/>
        <v>0</v>
      </c>
      <c r="GZ60" s="440">
        <f t="shared" si="21"/>
        <v>0</v>
      </c>
      <c r="HA60" s="440"/>
      <c r="HB60" s="440"/>
      <c r="HC60" s="440"/>
      <c r="HD60" s="440"/>
      <c r="HE60" s="429">
        <f t="shared" si="13"/>
        <v>36</v>
      </c>
      <c r="HF60" s="429">
        <f>SUM(GW60*Baseline!$P$24,GX60*Baseline!$P$25,GY60*Baseline!$P$26,GZ60*Baseline!$P$27,HA60*Baseline!$P$28,HB60*Baseline!$P$29,HC60*Baseline!$P$30,HD60*Baseline!$P$31,Baseline!$P$23)</f>
        <v>626.18362874044828</v>
      </c>
      <c r="HG60" s="455" t="e">
        <f t="shared" si="14"/>
        <v>#DIV/0!</v>
      </c>
      <c r="HH60" s="429" t="e">
        <f>IF(HG60&lt;=Baseline!$J$13,1,0)</f>
        <v>#DIV/0!</v>
      </c>
      <c r="HI60" s="429">
        <f t="shared" si="15"/>
        <v>392105.93690255558</v>
      </c>
      <c r="HJ60" s="429">
        <f t="shared" si="16"/>
        <v>48910903.069173105</v>
      </c>
      <c r="HK60" s="429">
        <f t="shared" si="17"/>
        <v>58061606.033611111</v>
      </c>
      <c r="HL60" s="429" t="str">
        <f>IF(HM60=Reference!$I$12,(HF60-GV60),"")</f>
        <v/>
      </c>
      <c r="HM60" s="429" t="str">
        <f>Reference!I60</f>
        <v/>
      </c>
      <c r="HN60" s="429" t="str">
        <f t="shared" si="19"/>
        <v/>
      </c>
      <c r="HO60" s="453"/>
      <c r="HP60" s="453"/>
      <c r="HQ60" s="453"/>
      <c r="HR60" s="465"/>
      <c r="HS60" s="453"/>
      <c r="HT60" s="453"/>
    </row>
    <row r="61" spans="189:239" ht="17.25" customHeight="1" x14ac:dyDescent="0.35">
      <c r="GG61" s="432"/>
      <c r="GJ61" s="429" t="str">
        <f>IF(GK61=$GJ$15,$GJ$15,IF(GJ$24=HF$4,SUM(GK$25:GK61),SUM(GL$25:GL61)))</f>
        <v>N</v>
      </c>
      <c r="GK61" s="438" t="str">
        <f>IFERROR('!!'!G61-'!!'!D61,$GJ$15)</f>
        <v>N</v>
      </c>
      <c r="GL61" s="429" t="str">
        <f t="shared" si="12"/>
        <v>N</v>
      </c>
      <c r="GM61" s="438">
        <f>IFERROR(('!!'!$D61)*('!!'!W61/('!!'!$G61)),0)</f>
        <v>0</v>
      </c>
      <c r="GN61" s="438">
        <f>IFERROR(('!!'!$D61)*('!!'!X61/('!!'!$G61)),0)</f>
        <v>0</v>
      </c>
      <c r="GO61" s="438">
        <f>IFERROR(('!!'!$D61)*('!!'!Y61/('!!'!$G61)),0)</f>
        <v>0</v>
      </c>
      <c r="GP61" s="438">
        <f>IFERROR(('!!'!$D61)*('!!'!Z60/('!!'!$G61)),0)</f>
        <v>0</v>
      </c>
      <c r="GQ61" s="438">
        <f>IFERROR(('!!'!$D61)*('!!'!Q61/('!!'!$G61)),0)</f>
        <v>0</v>
      </c>
      <c r="GR61" s="429">
        <v>1</v>
      </c>
      <c r="GS61" s="429">
        <v>2</v>
      </c>
      <c r="GT61" s="432">
        <f>Monitoring!C61</f>
        <v>0</v>
      </c>
      <c r="GU61" s="432">
        <f>Reference!$C61</f>
        <v>0</v>
      </c>
      <c r="GV61" s="429">
        <f>Reference!$D61</f>
        <v>0</v>
      </c>
      <c r="GW61" s="440">
        <f t="shared" si="21"/>
        <v>0</v>
      </c>
      <c r="GX61" s="440">
        <f t="shared" si="21"/>
        <v>0</v>
      </c>
      <c r="GY61" s="440">
        <f t="shared" si="21"/>
        <v>0</v>
      </c>
      <c r="GZ61" s="440">
        <f t="shared" si="21"/>
        <v>0</v>
      </c>
      <c r="HA61" s="440"/>
      <c r="HB61" s="440"/>
      <c r="HC61" s="440"/>
      <c r="HD61" s="440"/>
      <c r="HE61" s="429">
        <f t="shared" si="13"/>
        <v>37</v>
      </c>
      <c r="HF61" s="429">
        <f>SUM(GW61*Baseline!$P$24,GX61*Baseline!$P$25,GY61*Baseline!$P$26,GZ61*Baseline!$P$27,HA61*Baseline!$P$28,HB61*Baseline!$P$29,HC61*Baseline!$P$30,HD61*Baseline!$P$31,Baseline!$P$23)</f>
        <v>626.18362874044828</v>
      </c>
      <c r="HG61" s="455" t="e">
        <f t="shared" si="14"/>
        <v>#DIV/0!</v>
      </c>
      <c r="HH61" s="429" t="e">
        <f>IF(HG61&lt;=Baseline!$J$13,1,0)</f>
        <v>#DIV/0!</v>
      </c>
      <c r="HI61" s="429">
        <f t="shared" si="15"/>
        <v>392105.93690255558</v>
      </c>
      <c r="HJ61" s="429">
        <f t="shared" si="16"/>
        <v>48910903.069173105</v>
      </c>
      <c r="HK61" s="429">
        <f t="shared" si="17"/>
        <v>58061606.033611111</v>
      </c>
      <c r="HL61" s="429" t="str">
        <f>IF(HM61=Reference!$I$12,(HF61-GV61),"")</f>
        <v/>
      </c>
      <c r="HM61" s="429" t="str">
        <f>Reference!I61</f>
        <v/>
      </c>
      <c r="HN61" s="429" t="str">
        <f t="shared" si="19"/>
        <v/>
      </c>
      <c r="HO61" s="453"/>
      <c r="HP61" s="453"/>
      <c r="HQ61" s="453"/>
      <c r="HR61" s="465"/>
      <c r="HS61" s="453"/>
      <c r="HT61" s="453"/>
    </row>
    <row r="62" spans="189:239" ht="17.25" customHeight="1" x14ac:dyDescent="0.35">
      <c r="GG62" s="432"/>
      <c r="GJ62" s="429" t="str">
        <f>IF(GK62=$GJ$15,$GJ$15,IF(GJ$24=HF$4,SUM(GK$25:GK62),SUM(GL$25:GL62)))</f>
        <v>N</v>
      </c>
      <c r="GK62" s="438" t="str">
        <f>IFERROR('!!'!G62-'!!'!D62,$GJ$15)</f>
        <v>N</v>
      </c>
      <c r="GL62" s="429" t="str">
        <f t="shared" si="12"/>
        <v>N</v>
      </c>
      <c r="GM62" s="438">
        <f>IFERROR(('!!'!$D62)*('!!'!W62/('!!'!$G62)),0)</f>
        <v>0</v>
      </c>
      <c r="GN62" s="438">
        <f>IFERROR(('!!'!$D62)*('!!'!X62/('!!'!$G62)),0)</f>
        <v>0</v>
      </c>
      <c r="GO62" s="438">
        <f>IFERROR(('!!'!$D62)*('!!'!Y62/('!!'!$G62)),0)</f>
        <v>0</v>
      </c>
      <c r="GP62" s="438">
        <f>IFERROR(('!!'!$D62)*('!!'!Z61/('!!'!$G62)),0)</f>
        <v>0</v>
      </c>
      <c r="GQ62" s="438">
        <f>IFERROR(('!!'!$D62)*('!!'!Q62/('!!'!$G62)),0)</f>
        <v>0</v>
      </c>
      <c r="GR62" s="429">
        <v>1</v>
      </c>
      <c r="GS62" s="429">
        <v>2</v>
      </c>
      <c r="GT62" s="432">
        <f>Monitoring!C62</f>
        <v>0</v>
      </c>
      <c r="GU62" s="432">
        <f>Reference!$C62</f>
        <v>0</v>
      </c>
      <c r="GV62" s="429">
        <f>Reference!$D62</f>
        <v>0</v>
      </c>
      <c r="GW62" s="440">
        <f t="shared" si="21"/>
        <v>0</v>
      </c>
      <c r="GX62" s="440">
        <f t="shared" si="21"/>
        <v>0</v>
      </c>
      <c r="GY62" s="440">
        <f t="shared" si="21"/>
        <v>0</v>
      </c>
      <c r="GZ62" s="440">
        <f t="shared" si="21"/>
        <v>0</v>
      </c>
      <c r="HA62" s="440"/>
      <c r="HB62" s="440"/>
      <c r="HC62" s="440"/>
      <c r="HD62" s="440"/>
      <c r="HE62" s="429">
        <f t="shared" si="13"/>
        <v>38</v>
      </c>
      <c r="HF62" s="429">
        <f>SUM(GW62*Baseline!$P$24,GX62*Baseline!$P$25,GY62*Baseline!$P$26,GZ62*Baseline!$P$27,HA62*Baseline!$P$28,HB62*Baseline!$P$29,HC62*Baseline!$P$30,HD62*Baseline!$P$31,Baseline!$P$23)</f>
        <v>626.18362874044828</v>
      </c>
      <c r="HG62" s="455" t="e">
        <f t="shared" si="14"/>
        <v>#DIV/0!</v>
      </c>
      <c r="HH62" s="429" t="e">
        <f>IF(HG62&lt;=Baseline!$J$13,1,0)</f>
        <v>#DIV/0!</v>
      </c>
      <c r="HI62" s="429">
        <f t="shared" si="15"/>
        <v>392105.93690255558</v>
      </c>
      <c r="HJ62" s="429">
        <f t="shared" si="16"/>
        <v>48910903.069173105</v>
      </c>
      <c r="HK62" s="429">
        <f t="shared" si="17"/>
        <v>58061606.033611111</v>
      </c>
      <c r="HL62" s="429" t="str">
        <f>IF(HM62=Reference!$I$12,(HF62-GV62),"")</f>
        <v/>
      </c>
      <c r="HM62" s="429" t="str">
        <f>Reference!I62</f>
        <v/>
      </c>
      <c r="HN62" s="429" t="str">
        <f t="shared" si="19"/>
        <v/>
      </c>
      <c r="HO62" s="453"/>
      <c r="HP62" s="453"/>
      <c r="HQ62" s="453"/>
      <c r="HR62" s="465"/>
      <c r="HS62" s="453"/>
      <c r="HT62" s="453"/>
    </row>
    <row r="63" spans="189:239" ht="17.25" customHeight="1" x14ac:dyDescent="0.35">
      <c r="GG63" s="432"/>
      <c r="GJ63" s="429" t="str">
        <f>IF(GK63=$GJ$15,$GJ$15,IF(GJ$24=HF$4,SUM(GK$25:GK63),SUM(GL$25:GL63)))</f>
        <v>N</v>
      </c>
      <c r="GK63" s="438" t="str">
        <f>IFERROR('!!'!G63-'!!'!D63,$GJ$15)</f>
        <v>N</v>
      </c>
      <c r="GL63" s="429" t="str">
        <f t="shared" si="12"/>
        <v>N</v>
      </c>
      <c r="GM63" s="438">
        <f>IFERROR(('!!'!$D63)*('!!'!W63/('!!'!$G63)),0)</f>
        <v>0</v>
      </c>
      <c r="GN63" s="438">
        <f>IFERROR(('!!'!$D63)*('!!'!X63/('!!'!$G63)),0)</f>
        <v>0</v>
      </c>
      <c r="GO63" s="438">
        <f>IFERROR(('!!'!$D63)*('!!'!Y63/('!!'!$G63)),0)</f>
        <v>0</v>
      </c>
      <c r="GP63" s="438">
        <f>IFERROR(('!!'!$D63)*('!!'!Z62/('!!'!$G63)),0)</f>
        <v>0</v>
      </c>
      <c r="GQ63" s="438">
        <f>IFERROR(('!!'!$D63)*('!!'!Q63/('!!'!$G63)),0)</f>
        <v>0</v>
      </c>
      <c r="GR63" s="429">
        <v>1</v>
      </c>
      <c r="GS63" s="429">
        <v>2</v>
      </c>
      <c r="GT63" s="432">
        <f>Monitoring!C63</f>
        <v>0</v>
      </c>
      <c r="GU63" s="432">
        <f>Reference!$C63</f>
        <v>0</v>
      </c>
      <c r="GV63" s="429">
        <f>Reference!$D63</f>
        <v>0</v>
      </c>
      <c r="GW63" s="440">
        <f t="shared" si="21"/>
        <v>0</v>
      </c>
      <c r="GX63" s="440">
        <f t="shared" si="21"/>
        <v>0</v>
      </c>
      <c r="GY63" s="440">
        <f t="shared" si="21"/>
        <v>0</v>
      </c>
      <c r="GZ63" s="440">
        <f t="shared" si="21"/>
        <v>0</v>
      </c>
      <c r="HA63" s="440"/>
      <c r="HB63" s="440"/>
      <c r="HC63" s="440"/>
      <c r="HD63" s="440"/>
      <c r="HE63" s="429">
        <f t="shared" si="13"/>
        <v>39</v>
      </c>
      <c r="HF63" s="429">
        <f>SUM(GW63*Baseline!$P$24,GX63*Baseline!$P$25,GY63*Baseline!$P$26,GZ63*Baseline!$P$27,HA63*Baseline!$P$28,HB63*Baseline!$P$29,HC63*Baseline!$P$30,HD63*Baseline!$P$31,Baseline!$P$23)</f>
        <v>626.18362874044828</v>
      </c>
      <c r="HG63" s="455" t="e">
        <f t="shared" si="14"/>
        <v>#DIV/0!</v>
      </c>
      <c r="HH63" s="429" t="e">
        <f>IF(HG63&lt;=Baseline!$J$13,1,0)</f>
        <v>#DIV/0!</v>
      </c>
      <c r="HI63" s="429">
        <f t="shared" si="15"/>
        <v>392105.93690255558</v>
      </c>
      <c r="HJ63" s="429">
        <f t="shared" si="16"/>
        <v>48910903.069173105</v>
      </c>
      <c r="HK63" s="429">
        <f t="shared" si="17"/>
        <v>58061606.033611111</v>
      </c>
      <c r="HL63" s="429" t="str">
        <f>IF(HM63=Reference!$I$12,(HF63-GV63),"")</f>
        <v/>
      </c>
      <c r="HM63" s="429" t="str">
        <f>Reference!I63</f>
        <v/>
      </c>
      <c r="HN63" s="429" t="str">
        <f t="shared" si="19"/>
        <v/>
      </c>
      <c r="HO63" s="453"/>
      <c r="HP63" s="453"/>
      <c r="HQ63" s="453"/>
      <c r="HR63" s="465"/>
      <c r="HS63" s="453"/>
      <c r="HT63" s="453"/>
    </row>
    <row r="64" spans="189:239" ht="17.25" customHeight="1" x14ac:dyDescent="0.35">
      <c r="GG64" s="432"/>
      <c r="GJ64" s="429" t="str">
        <f>IF(GK64=$GJ$15,$GJ$15,IF(GJ$24=HF$4,SUM(GK$25:GK64),SUM(GL$25:GL64)))</f>
        <v>N</v>
      </c>
      <c r="GK64" s="438" t="str">
        <f>IFERROR('!!'!G64-'!!'!D64,$GJ$15)</f>
        <v>N</v>
      </c>
      <c r="GL64" s="429" t="str">
        <f t="shared" si="12"/>
        <v>N</v>
      </c>
      <c r="GM64" s="438">
        <f>IFERROR(('!!'!$D64)*('!!'!W64/('!!'!$G64)),0)</f>
        <v>0</v>
      </c>
      <c r="GN64" s="438">
        <f>IFERROR(('!!'!$D64)*('!!'!X64/('!!'!$G64)),0)</f>
        <v>0</v>
      </c>
      <c r="GO64" s="438">
        <f>IFERROR(('!!'!$D64)*('!!'!Y64/('!!'!$G64)),0)</f>
        <v>0</v>
      </c>
      <c r="GP64" s="438">
        <f>IFERROR(('!!'!$D64)*('!!'!Z63/('!!'!$G64)),0)</f>
        <v>0</v>
      </c>
      <c r="GQ64" s="438">
        <f>IFERROR(('!!'!$D64)*('!!'!Q64/('!!'!$G64)),0)</f>
        <v>0</v>
      </c>
      <c r="GR64" s="429">
        <v>1</v>
      </c>
      <c r="GS64" s="429">
        <v>2</v>
      </c>
      <c r="GT64" s="432">
        <f>Monitoring!C64</f>
        <v>0</v>
      </c>
      <c r="GU64" s="432">
        <f>Reference!$C64</f>
        <v>0</v>
      </c>
      <c r="GV64" s="429">
        <f>Reference!$D64</f>
        <v>0</v>
      </c>
      <c r="GW64" s="440">
        <f t="shared" si="21"/>
        <v>0</v>
      </c>
      <c r="GX64" s="440">
        <f t="shared" si="21"/>
        <v>0</v>
      </c>
      <c r="GY64" s="440">
        <f t="shared" si="21"/>
        <v>0</v>
      </c>
      <c r="GZ64" s="440">
        <f t="shared" si="21"/>
        <v>0</v>
      </c>
      <c r="HA64" s="440"/>
      <c r="HB64" s="440"/>
      <c r="HC64" s="440"/>
      <c r="HD64" s="440"/>
      <c r="HE64" s="429">
        <f t="shared" si="13"/>
        <v>40</v>
      </c>
      <c r="HF64" s="429">
        <f>SUM(GW64*Baseline!$P$24,GX64*Baseline!$P$25,GY64*Baseline!$P$26,GZ64*Baseline!$P$27,HA64*Baseline!$P$28,HB64*Baseline!$P$29,HC64*Baseline!$P$30,HD64*Baseline!$P$31,Baseline!$P$23)</f>
        <v>626.18362874044828</v>
      </c>
      <c r="HG64" s="455" t="e">
        <f t="shared" si="14"/>
        <v>#DIV/0!</v>
      </c>
      <c r="HH64" s="429" t="e">
        <f>IF(HG64&lt;=Baseline!$J$13,1,0)</f>
        <v>#DIV/0!</v>
      </c>
      <c r="HI64" s="429">
        <f t="shared" si="15"/>
        <v>392105.93690255558</v>
      </c>
      <c r="HJ64" s="429">
        <f t="shared" si="16"/>
        <v>48910903.069173105</v>
      </c>
      <c r="HK64" s="429">
        <f t="shared" si="17"/>
        <v>58061606.033611111</v>
      </c>
      <c r="HL64" s="429" t="str">
        <f>IF(HM64=Reference!$I$12,(HF64-GV64),"")</f>
        <v/>
      </c>
      <c r="HM64" s="429" t="str">
        <f>Reference!I64</f>
        <v/>
      </c>
      <c r="HN64" s="429" t="str">
        <f t="shared" si="19"/>
        <v/>
      </c>
      <c r="HO64" s="453"/>
      <c r="HP64" s="453"/>
      <c r="HQ64" s="453"/>
      <c r="HR64" s="465"/>
      <c r="HS64" s="453"/>
      <c r="HT64" s="453"/>
    </row>
    <row r="65" spans="189:228" ht="17.25" customHeight="1" x14ac:dyDescent="0.35">
      <c r="GG65" s="432"/>
      <c r="GJ65" s="429" t="str">
        <f>IF(GK65=$GJ$15,$GJ$15,IF(GJ$24=HF$4,SUM(GK$25:GK65),SUM(GL$25:GL65)))</f>
        <v>N</v>
      </c>
      <c r="GK65" s="438" t="str">
        <f>IFERROR('!!'!G65-'!!'!D65,$GJ$15)</f>
        <v>N</v>
      </c>
      <c r="GL65" s="429" t="str">
        <f t="shared" si="12"/>
        <v>N</v>
      </c>
      <c r="GM65" s="438">
        <f>IFERROR(('!!'!$D65)*('!!'!W65/('!!'!$G65)),0)</f>
        <v>0</v>
      </c>
      <c r="GN65" s="438">
        <f>IFERROR(('!!'!$D65)*('!!'!X65/('!!'!$G65)),0)</f>
        <v>0</v>
      </c>
      <c r="GO65" s="438">
        <f>IFERROR(('!!'!$D65)*('!!'!Y65/('!!'!$G65)),0)</f>
        <v>0</v>
      </c>
      <c r="GP65" s="438">
        <f>IFERROR(('!!'!$D65)*('!!'!Z64/('!!'!$G65)),0)</f>
        <v>0</v>
      </c>
      <c r="GQ65" s="438">
        <f>IFERROR(('!!'!$D65)*('!!'!Q65/('!!'!$G65)),0)</f>
        <v>0</v>
      </c>
      <c r="GR65" s="429">
        <v>1</v>
      </c>
      <c r="GS65" s="429">
        <v>2</v>
      </c>
      <c r="GT65" s="432">
        <f>Monitoring!C65</f>
        <v>0</v>
      </c>
      <c r="GU65" s="432">
        <f>Reference!$C65</f>
        <v>0</v>
      </c>
      <c r="GV65" s="429">
        <f>Reference!$D65</f>
        <v>0</v>
      </c>
      <c r="GW65" s="440">
        <f t="shared" ref="GW65:GZ74" si="22">IFERROR(VLOOKUP($GU65,Daten.B,GW$22,FALSE)^GW$23,0)</f>
        <v>0</v>
      </c>
      <c r="GX65" s="440">
        <f t="shared" si="22"/>
        <v>0</v>
      </c>
      <c r="GY65" s="440">
        <f t="shared" si="22"/>
        <v>0</v>
      </c>
      <c r="GZ65" s="440">
        <f t="shared" si="22"/>
        <v>0</v>
      </c>
      <c r="HA65" s="440"/>
      <c r="HB65" s="440"/>
      <c r="HC65" s="440"/>
      <c r="HD65" s="440"/>
      <c r="HE65" s="429">
        <f t="shared" si="13"/>
        <v>41</v>
      </c>
      <c r="HF65" s="429">
        <f>SUM(GW65*Baseline!$P$24,GX65*Baseline!$P$25,GY65*Baseline!$P$26,GZ65*Baseline!$P$27,HA65*Baseline!$P$28,HB65*Baseline!$P$29,HC65*Baseline!$P$30,HD65*Baseline!$P$31,Baseline!$P$23)</f>
        <v>626.18362874044828</v>
      </c>
      <c r="HG65" s="455" t="e">
        <f t="shared" si="14"/>
        <v>#DIV/0!</v>
      </c>
      <c r="HH65" s="429" t="e">
        <f>IF(HG65&lt;=Baseline!$J$13,1,0)</f>
        <v>#DIV/0!</v>
      </c>
      <c r="HI65" s="429">
        <f t="shared" si="15"/>
        <v>392105.93690255558</v>
      </c>
      <c r="HJ65" s="429">
        <f t="shared" si="16"/>
        <v>48910903.069173105</v>
      </c>
      <c r="HK65" s="429">
        <f t="shared" si="17"/>
        <v>58061606.033611111</v>
      </c>
      <c r="HL65" s="429" t="str">
        <f>IF(HM65=Reference!$I$12,(HF65-GV65),"")</f>
        <v/>
      </c>
      <c r="HM65" s="429" t="str">
        <f>Reference!I65</f>
        <v/>
      </c>
      <c r="HN65" s="429" t="str">
        <f t="shared" si="19"/>
        <v/>
      </c>
      <c r="HO65" s="453"/>
      <c r="HP65" s="453"/>
      <c r="HQ65" s="453"/>
      <c r="HR65" s="465"/>
      <c r="HS65" s="453"/>
      <c r="HT65" s="453"/>
    </row>
    <row r="66" spans="189:228" ht="17.25" customHeight="1" x14ac:dyDescent="0.35">
      <c r="GG66" s="432"/>
      <c r="GJ66" s="429" t="str">
        <f>IF(GK66=$GJ$15,$GJ$15,IF(GJ$24=HF$4,SUM(GK$25:GK66),SUM(GL$25:GL66)))</f>
        <v>N</v>
      </c>
      <c r="GK66" s="438" t="str">
        <f>IFERROR('!!'!G66-'!!'!D66,$GJ$15)</f>
        <v>N</v>
      </c>
      <c r="GL66" s="429" t="str">
        <f t="shared" si="12"/>
        <v>N</v>
      </c>
      <c r="GM66" s="438">
        <f>IFERROR(('!!'!$D66)*('!!'!W66/('!!'!$G66)),0)</f>
        <v>0</v>
      </c>
      <c r="GN66" s="438">
        <f>IFERROR(('!!'!$D66)*('!!'!X66/('!!'!$G66)),0)</f>
        <v>0</v>
      </c>
      <c r="GO66" s="438">
        <f>IFERROR(('!!'!$D66)*('!!'!Y66/('!!'!$G66)),0)</f>
        <v>0</v>
      </c>
      <c r="GP66" s="438">
        <f>IFERROR(('!!'!$D66)*('!!'!Z65/('!!'!$G66)),0)</f>
        <v>0</v>
      </c>
      <c r="GQ66" s="438">
        <f>IFERROR(('!!'!$D66)*('!!'!Q66/('!!'!$G66)),0)</f>
        <v>0</v>
      </c>
      <c r="GR66" s="429">
        <v>1</v>
      </c>
      <c r="GS66" s="429">
        <v>2</v>
      </c>
      <c r="GT66" s="432">
        <f>Monitoring!C66</f>
        <v>0</v>
      </c>
      <c r="GU66" s="432">
        <f>Reference!$C66</f>
        <v>0</v>
      </c>
      <c r="GV66" s="429">
        <f>Reference!$D66</f>
        <v>0</v>
      </c>
      <c r="GW66" s="440">
        <f t="shared" si="22"/>
        <v>0</v>
      </c>
      <c r="GX66" s="440">
        <f t="shared" si="22"/>
        <v>0</v>
      </c>
      <c r="GY66" s="440">
        <f t="shared" si="22"/>
        <v>0</v>
      </c>
      <c r="GZ66" s="440">
        <f t="shared" si="22"/>
        <v>0</v>
      </c>
      <c r="HA66" s="440"/>
      <c r="HB66" s="440"/>
      <c r="HC66" s="440"/>
      <c r="HD66" s="440"/>
      <c r="HE66" s="429">
        <f t="shared" si="13"/>
        <v>42</v>
      </c>
      <c r="HF66" s="429">
        <f>SUM(GW66*Baseline!$P$24,GX66*Baseline!$P$25,GY66*Baseline!$P$26,GZ66*Baseline!$P$27,HA66*Baseline!$P$28,HB66*Baseline!$P$29,HC66*Baseline!$P$30,HD66*Baseline!$P$31,Baseline!$P$23)</f>
        <v>626.18362874044828</v>
      </c>
      <c r="HG66" s="455" t="e">
        <f t="shared" si="14"/>
        <v>#DIV/0!</v>
      </c>
      <c r="HH66" s="429" t="e">
        <f>IF(HG66&lt;=Baseline!$J$13,1,0)</f>
        <v>#DIV/0!</v>
      </c>
      <c r="HI66" s="429">
        <f t="shared" si="15"/>
        <v>392105.93690255558</v>
      </c>
      <c r="HJ66" s="429">
        <f t="shared" si="16"/>
        <v>48910903.069173105</v>
      </c>
      <c r="HK66" s="429">
        <f t="shared" si="17"/>
        <v>58061606.033611111</v>
      </c>
      <c r="HL66" s="429" t="str">
        <f>IF(HM66=Reference!$I$12,(HF66-GV66),"")</f>
        <v/>
      </c>
      <c r="HM66" s="429" t="str">
        <f>Reference!I66</f>
        <v/>
      </c>
      <c r="HN66" s="429" t="str">
        <f t="shared" si="19"/>
        <v/>
      </c>
      <c r="HO66" s="453"/>
      <c r="HP66" s="453"/>
      <c r="HQ66" s="453"/>
      <c r="HR66" s="465"/>
      <c r="HS66" s="453"/>
      <c r="HT66" s="453"/>
    </row>
    <row r="67" spans="189:228" ht="17.25" customHeight="1" x14ac:dyDescent="0.35">
      <c r="GG67" s="432"/>
      <c r="GJ67" s="429" t="str">
        <f>IF(GK67=$GJ$15,$GJ$15,IF(GJ$24=HF$4,SUM(GK$25:GK67),SUM(GL$25:GL67)))</f>
        <v>N</v>
      </c>
      <c r="GK67" s="438" t="str">
        <f>IFERROR('!!'!G67-'!!'!D67,$GJ$15)</f>
        <v>N</v>
      </c>
      <c r="GL67" s="429" t="str">
        <f t="shared" si="12"/>
        <v>N</v>
      </c>
      <c r="GM67" s="438">
        <f>IFERROR(('!!'!$D67)*('!!'!W67/('!!'!$G67)),0)</f>
        <v>0</v>
      </c>
      <c r="GN67" s="438">
        <f>IFERROR(('!!'!$D67)*('!!'!X67/('!!'!$G67)),0)</f>
        <v>0</v>
      </c>
      <c r="GO67" s="438">
        <f>IFERROR(('!!'!$D67)*('!!'!Y67/('!!'!$G67)),0)</f>
        <v>0</v>
      </c>
      <c r="GP67" s="438">
        <f>IFERROR(('!!'!$D67)*('!!'!Z66/('!!'!$G67)),0)</f>
        <v>0</v>
      </c>
      <c r="GQ67" s="438">
        <f>IFERROR(('!!'!$D67)*('!!'!Q67/('!!'!$G67)),0)</f>
        <v>0</v>
      </c>
      <c r="GR67" s="429">
        <v>1</v>
      </c>
      <c r="GS67" s="429">
        <v>2</v>
      </c>
      <c r="GT67" s="432">
        <f>Monitoring!C67</f>
        <v>0</v>
      </c>
      <c r="GU67" s="432">
        <f>Reference!$C67</f>
        <v>0</v>
      </c>
      <c r="GV67" s="429">
        <f>Reference!$D67</f>
        <v>0</v>
      </c>
      <c r="GW67" s="440">
        <f t="shared" si="22"/>
        <v>0</v>
      </c>
      <c r="GX67" s="440">
        <f t="shared" si="22"/>
        <v>0</v>
      </c>
      <c r="GY67" s="440">
        <f t="shared" si="22"/>
        <v>0</v>
      </c>
      <c r="GZ67" s="440">
        <f t="shared" si="22"/>
        <v>0</v>
      </c>
      <c r="HA67" s="440"/>
      <c r="HB67" s="440"/>
      <c r="HC67" s="440"/>
      <c r="HD67" s="440"/>
      <c r="HE67" s="429">
        <f t="shared" si="13"/>
        <v>43</v>
      </c>
      <c r="HF67" s="429">
        <f>SUM(GW67*Baseline!$P$24,GX67*Baseline!$P$25,GY67*Baseline!$P$26,GZ67*Baseline!$P$27,HA67*Baseline!$P$28,HB67*Baseline!$P$29,HC67*Baseline!$P$30,HD67*Baseline!$P$31,Baseline!$P$23)</f>
        <v>626.18362874044828</v>
      </c>
      <c r="HG67" s="455" t="e">
        <f t="shared" si="14"/>
        <v>#DIV/0!</v>
      </c>
      <c r="HH67" s="429" t="e">
        <f>IF(HG67&lt;=Baseline!$J$13,1,0)</f>
        <v>#DIV/0!</v>
      </c>
      <c r="HI67" s="429">
        <f t="shared" si="15"/>
        <v>392105.93690255558</v>
      </c>
      <c r="HJ67" s="429">
        <f t="shared" si="16"/>
        <v>48910903.069173105</v>
      </c>
      <c r="HK67" s="429">
        <f t="shared" si="17"/>
        <v>58061606.033611111</v>
      </c>
      <c r="HL67" s="429" t="str">
        <f>IF(HM67=Reference!$I$12,(HF67-GV67),"")</f>
        <v/>
      </c>
      <c r="HM67" s="429" t="str">
        <f>Reference!I67</f>
        <v/>
      </c>
      <c r="HN67" s="429" t="str">
        <f t="shared" si="19"/>
        <v/>
      </c>
      <c r="HO67" s="453"/>
      <c r="HP67" s="453"/>
      <c r="HQ67" s="453"/>
      <c r="HR67" s="465"/>
      <c r="HS67" s="453"/>
      <c r="HT67" s="453"/>
    </row>
    <row r="68" spans="189:228" ht="17.25" customHeight="1" x14ac:dyDescent="0.35">
      <c r="GG68" s="432"/>
      <c r="GJ68" s="429" t="str">
        <f>IF(GK68=$GJ$15,$GJ$15,IF(GJ$24=HF$4,SUM(GK$25:GK68),SUM(GL$25:GL68)))</f>
        <v>N</v>
      </c>
      <c r="GK68" s="438" t="str">
        <f>IFERROR('!!'!G68-'!!'!D68,$GJ$15)</f>
        <v>N</v>
      </c>
      <c r="GL68" s="429" t="str">
        <f t="shared" si="12"/>
        <v>N</v>
      </c>
      <c r="GM68" s="438">
        <f>IFERROR(('!!'!$D68)*('!!'!W68/('!!'!$G68)),0)</f>
        <v>0</v>
      </c>
      <c r="GN68" s="438">
        <f>IFERROR(('!!'!$D68)*('!!'!X68/('!!'!$G68)),0)</f>
        <v>0</v>
      </c>
      <c r="GO68" s="438">
        <f>IFERROR(('!!'!$D68)*('!!'!Y68/('!!'!$G68)),0)</f>
        <v>0</v>
      </c>
      <c r="GP68" s="438">
        <f>IFERROR(('!!'!$D68)*('!!'!Z67/('!!'!$G68)),0)</f>
        <v>0</v>
      </c>
      <c r="GQ68" s="438">
        <f>IFERROR(('!!'!$D68)*('!!'!Q68/('!!'!$G68)),0)</f>
        <v>0</v>
      </c>
      <c r="GR68" s="429">
        <v>1</v>
      </c>
      <c r="GS68" s="429">
        <v>2</v>
      </c>
      <c r="GT68" s="432">
        <f>Monitoring!C68</f>
        <v>0</v>
      </c>
      <c r="GU68" s="432">
        <f>Reference!$C68</f>
        <v>0</v>
      </c>
      <c r="GV68" s="429">
        <f>Reference!$D68</f>
        <v>0</v>
      </c>
      <c r="GW68" s="440">
        <f t="shared" si="22"/>
        <v>0</v>
      </c>
      <c r="GX68" s="440">
        <f t="shared" si="22"/>
        <v>0</v>
      </c>
      <c r="GY68" s="440">
        <f t="shared" si="22"/>
        <v>0</v>
      </c>
      <c r="GZ68" s="440">
        <f t="shared" si="22"/>
        <v>0</v>
      </c>
      <c r="HA68" s="440"/>
      <c r="HB68" s="440"/>
      <c r="HC68" s="440"/>
      <c r="HD68" s="440"/>
      <c r="HE68" s="429">
        <f t="shared" si="13"/>
        <v>44</v>
      </c>
      <c r="HF68" s="429">
        <f>SUM(GW68*Baseline!$P$24,GX68*Baseline!$P$25,GY68*Baseline!$P$26,GZ68*Baseline!$P$27,HA68*Baseline!$P$28,HB68*Baseline!$P$29,HC68*Baseline!$P$30,HD68*Baseline!$P$31,Baseline!$P$23)</f>
        <v>626.18362874044828</v>
      </c>
      <c r="HG68" s="455" t="e">
        <f t="shared" si="14"/>
        <v>#DIV/0!</v>
      </c>
      <c r="HH68" s="429" t="e">
        <f>IF(HG68&lt;=Baseline!$J$13,1,0)</f>
        <v>#DIV/0!</v>
      </c>
      <c r="HI68" s="429">
        <f t="shared" si="15"/>
        <v>392105.93690255558</v>
      </c>
      <c r="HJ68" s="429">
        <f t="shared" si="16"/>
        <v>48910903.069173105</v>
      </c>
      <c r="HK68" s="429">
        <f t="shared" si="17"/>
        <v>58061606.033611111</v>
      </c>
      <c r="HL68" s="429" t="str">
        <f>IF(HM68=Reference!$I$12,(HF68-GV68),"")</f>
        <v/>
      </c>
      <c r="HM68" s="429" t="str">
        <f>Reference!I68</f>
        <v/>
      </c>
      <c r="HN68" s="429" t="str">
        <f t="shared" si="19"/>
        <v/>
      </c>
      <c r="HO68" s="453"/>
      <c r="HP68" s="453"/>
      <c r="HQ68" s="453"/>
      <c r="HR68" s="465"/>
      <c r="HS68" s="453"/>
      <c r="HT68" s="453"/>
    </row>
    <row r="69" spans="189:228" ht="17.25" customHeight="1" x14ac:dyDescent="0.35">
      <c r="GG69" s="432"/>
      <c r="GJ69" s="429" t="str">
        <f>IF(GK69=$GJ$15,$GJ$15,IF(GJ$24=HF$4,SUM(GK$25:GK69),SUM(GL$25:GL69)))</f>
        <v>N</v>
      </c>
      <c r="GK69" s="438" t="str">
        <f>IFERROR('!!'!G69-'!!'!D69,$GJ$15)</f>
        <v>N</v>
      </c>
      <c r="GL69" s="429" t="str">
        <f t="shared" si="12"/>
        <v>N</v>
      </c>
      <c r="GM69" s="438">
        <f>IFERROR(('!!'!$D69)*('!!'!W69/('!!'!$G69)),0)</f>
        <v>0</v>
      </c>
      <c r="GN69" s="438">
        <f>IFERROR(('!!'!$D69)*('!!'!X69/('!!'!$G69)),0)</f>
        <v>0</v>
      </c>
      <c r="GO69" s="438">
        <f>IFERROR(('!!'!$D69)*('!!'!Y69/('!!'!$G69)),0)</f>
        <v>0</v>
      </c>
      <c r="GP69" s="438">
        <f>IFERROR(('!!'!$D69)*('!!'!Z68/('!!'!$G69)),0)</f>
        <v>0</v>
      </c>
      <c r="GQ69" s="438">
        <f>IFERROR(('!!'!$D69)*('!!'!Q69/('!!'!$G69)),0)</f>
        <v>0</v>
      </c>
      <c r="GR69" s="429">
        <v>1</v>
      </c>
      <c r="GS69" s="429">
        <v>2</v>
      </c>
      <c r="GT69" s="432">
        <f>Monitoring!C69</f>
        <v>0</v>
      </c>
      <c r="GU69" s="432">
        <f>Reference!$C69</f>
        <v>0</v>
      </c>
      <c r="GV69" s="429">
        <f>Reference!$D69</f>
        <v>0</v>
      </c>
      <c r="GW69" s="440">
        <f t="shared" si="22"/>
        <v>0</v>
      </c>
      <c r="GX69" s="440">
        <f t="shared" si="22"/>
        <v>0</v>
      </c>
      <c r="GY69" s="440">
        <f t="shared" si="22"/>
        <v>0</v>
      </c>
      <c r="GZ69" s="440">
        <f t="shared" si="22"/>
        <v>0</v>
      </c>
      <c r="HA69" s="440"/>
      <c r="HB69" s="440"/>
      <c r="HC69" s="440"/>
      <c r="HD69" s="440"/>
      <c r="HE69" s="429">
        <f t="shared" si="13"/>
        <v>45</v>
      </c>
      <c r="HF69" s="429">
        <f>SUM(GW69*Baseline!$P$24,GX69*Baseline!$P$25,GY69*Baseline!$P$26,GZ69*Baseline!$P$27,HA69*Baseline!$P$28,HB69*Baseline!$P$29,HC69*Baseline!$P$30,HD69*Baseline!$P$31,Baseline!$P$23)</f>
        <v>626.18362874044828</v>
      </c>
      <c r="HG69" s="455" t="e">
        <f t="shared" si="14"/>
        <v>#DIV/0!</v>
      </c>
      <c r="HH69" s="429" t="e">
        <f>IF(HG69&lt;=Baseline!$J$13,1,0)</f>
        <v>#DIV/0!</v>
      </c>
      <c r="HI69" s="429">
        <f t="shared" si="15"/>
        <v>392105.93690255558</v>
      </c>
      <c r="HJ69" s="429">
        <f t="shared" si="16"/>
        <v>48910903.069173105</v>
      </c>
      <c r="HK69" s="429">
        <f t="shared" si="17"/>
        <v>58061606.033611111</v>
      </c>
      <c r="HL69" s="429" t="str">
        <f>IF(HM69=Reference!$I$12,(HF69-GV69),"")</f>
        <v/>
      </c>
      <c r="HM69" s="429" t="str">
        <f>Reference!I69</f>
        <v/>
      </c>
      <c r="HN69" s="429" t="str">
        <f t="shared" si="19"/>
        <v/>
      </c>
      <c r="HO69" s="453"/>
      <c r="HP69" s="453"/>
      <c r="HQ69" s="453"/>
      <c r="HR69" s="465"/>
      <c r="HS69" s="453"/>
      <c r="HT69" s="453"/>
    </row>
    <row r="70" spans="189:228" ht="17.25" customHeight="1" x14ac:dyDescent="0.35">
      <c r="GG70" s="432"/>
      <c r="GJ70" s="429" t="str">
        <f>IF(GK70=$GJ$15,$GJ$15,IF(GJ$24=HF$4,SUM(GK$25:GK70),SUM(GL$25:GL70)))</f>
        <v>N</v>
      </c>
      <c r="GK70" s="438" t="str">
        <f>IFERROR('!!'!G70-'!!'!D70,$GJ$15)</f>
        <v>N</v>
      </c>
      <c r="GL70" s="429" t="str">
        <f t="shared" si="12"/>
        <v>N</v>
      </c>
      <c r="GM70" s="438">
        <f>IFERROR(('!!'!$D70)*('!!'!W70/('!!'!$G70)),0)</f>
        <v>0</v>
      </c>
      <c r="GN70" s="438">
        <f>IFERROR(('!!'!$D70)*('!!'!X70/('!!'!$G70)),0)</f>
        <v>0</v>
      </c>
      <c r="GO70" s="438">
        <f>IFERROR(('!!'!$D70)*('!!'!Y70/('!!'!$G70)),0)</f>
        <v>0</v>
      </c>
      <c r="GP70" s="438">
        <f>IFERROR(('!!'!$D70)*('!!'!Z69/('!!'!$G70)),0)</f>
        <v>0</v>
      </c>
      <c r="GQ70" s="438">
        <f>IFERROR(('!!'!$D70)*('!!'!Q70/('!!'!$G70)),0)</f>
        <v>0</v>
      </c>
      <c r="GR70" s="429">
        <v>1</v>
      </c>
      <c r="GS70" s="429">
        <v>2</v>
      </c>
      <c r="GT70" s="432">
        <f>Monitoring!C70</f>
        <v>0</v>
      </c>
      <c r="GU70" s="432">
        <f>Reference!$C70</f>
        <v>0</v>
      </c>
      <c r="GV70" s="429">
        <f>Reference!$D70</f>
        <v>0</v>
      </c>
      <c r="GW70" s="440">
        <f t="shared" si="22"/>
        <v>0</v>
      </c>
      <c r="GX70" s="440">
        <f t="shared" si="22"/>
        <v>0</v>
      </c>
      <c r="GY70" s="440">
        <f t="shared" si="22"/>
        <v>0</v>
      </c>
      <c r="GZ70" s="440">
        <f t="shared" si="22"/>
        <v>0</v>
      </c>
      <c r="HA70" s="440"/>
      <c r="HB70" s="440"/>
      <c r="HC70" s="440"/>
      <c r="HD70" s="440"/>
      <c r="HE70" s="429">
        <f t="shared" si="13"/>
        <v>46</v>
      </c>
      <c r="HF70" s="429">
        <f>SUM(GW70*Baseline!$P$24,GX70*Baseline!$P$25,GY70*Baseline!$P$26,GZ70*Baseline!$P$27,HA70*Baseline!$P$28,HB70*Baseline!$P$29,HC70*Baseline!$P$30,HD70*Baseline!$P$31,Baseline!$P$23)</f>
        <v>626.18362874044828</v>
      </c>
      <c r="HG70" s="455" t="e">
        <f t="shared" si="14"/>
        <v>#DIV/0!</v>
      </c>
      <c r="HH70" s="429" t="e">
        <f>IF(HG70&lt;=Baseline!$J$13,1,0)</f>
        <v>#DIV/0!</v>
      </c>
      <c r="HI70" s="429">
        <f t="shared" si="15"/>
        <v>392105.93690255558</v>
      </c>
      <c r="HJ70" s="429">
        <f t="shared" si="16"/>
        <v>48910903.069173105</v>
      </c>
      <c r="HK70" s="429">
        <f t="shared" si="17"/>
        <v>58061606.033611111</v>
      </c>
      <c r="HL70" s="429" t="str">
        <f>IF(HM70=Reference!$I$12,(HF70-GV70),"")</f>
        <v/>
      </c>
      <c r="HM70" s="429" t="str">
        <f>Reference!I70</f>
        <v/>
      </c>
      <c r="HN70" s="429" t="str">
        <f t="shared" si="19"/>
        <v/>
      </c>
      <c r="HO70" s="453"/>
      <c r="HP70" s="453"/>
      <c r="HQ70" s="453"/>
      <c r="HR70" s="465"/>
      <c r="HS70" s="453"/>
      <c r="HT70" s="453"/>
    </row>
    <row r="71" spans="189:228" ht="17.25" customHeight="1" x14ac:dyDescent="0.35">
      <c r="GG71" s="432"/>
      <c r="GJ71" s="429" t="str">
        <f>IF(GK71=$GJ$15,$GJ$15,IF(GJ$24=HF$4,SUM(GK$25:GK71),SUM(GL$25:GL71)))</f>
        <v>N</v>
      </c>
      <c r="GK71" s="438" t="str">
        <f>IFERROR('!!'!G71-'!!'!D71,$GJ$15)</f>
        <v>N</v>
      </c>
      <c r="GL71" s="429" t="str">
        <f t="shared" si="12"/>
        <v>N</v>
      </c>
      <c r="GM71" s="438">
        <f>IFERROR(('!!'!$D71)*('!!'!W71/('!!'!$G71)),0)</f>
        <v>0</v>
      </c>
      <c r="GN71" s="438">
        <f>IFERROR(('!!'!$D71)*('!!'!X71/('!!'!$G71)),0)</f>
        <v>0</v>
      </c>
      <c r="GO71" s="438">
        <f>IFERROR(('!!'!$D71)*('!!'!Y71/('!!'!$G71)),0)</f>
        <v>0</v>
      </c>
      <c r="GP71" s="438">
        <f>IFERROR(('!!'!$D71)*('!!'!Z70/('!!'!$G71)),0)</f>
        <v>0</v>
      </c>
      <c r="GQ71" s="438">
        <f>IFERROR(('!!'!$D71)*('!!'!Q71/('!!'!$G71)),0)</f>
        <v>0</v>
      </c>
      <c r="GR71" s="429">
        <v>1</v>
      </c>
      <c r="GS71" s="429">
        <v>2</v>
      </c>
      <c r="GT71" s="432">
        <f>Monitoring!C71</f>
        <v>0</v>
      </c>
      <c r="GU71" s="432">
        <f>Reference!$C71</f>
        <v>0</v>
      </c>
      <c r="GV71" s="429">
        <f>Reference!$D71</f>
        <v>0</v>
      </c>
      <c r="GW71" s="440">
        <f t="shared" si="22"/>
        <v>0</v>
      </c>
      <c r="GX71" s="440">
        <f t="shared" si="22"/>
        <v>0</v>
      </c>
      <c r="GY71" s="440">
        <f t="shared" si="22"/>
        <v>0</v>
      </c>
      <c r="GZ71" s="440">
        <f t="shared" si="22"/>
        <v>0</v>
      </c>
      <c r="HA71" s="440"/>
      <c r="HB71" s="440"/>
      <c r="HC71" s="440"/>
      <c r="HD71" s="440"/>
      <c r="HE71" s="429">
        <f t="shared" si="13"/>
        <v>47</v>
      </c>
      <c r="HF71" s="429">
        <f>SUM(GW71*Baseline!$P$24,GX71*Baseline!$P$25,GY71*Baseline!$P$26,GZ71*Baseline!$P$27,HA71*Baseline!$P$28,HB71*Baseline!$P$29,HC71*Baseline!$P$30,HD71*Baseline!$P$31,Baseline!$P$23)</f>
        <v>626.18362874044828</v>
      </c>
      <c r="HG71" s="455" t="e">
        <f t="shared" si="14"/>
        <v>#DIV/0!</v>
      </c>
      <c r="HH71" s="429" t="e">
        <f>IF(HG71&lt;=Baseline!$J$13,1,0)</f>
        <v>#DIV/0!</v>
      </c>
      <c r="HI71" s="429">
        <f t="shared" si="15"/>
        <v>392105.93690255558</v>
      </c>
      <c r="HJ71" s="429">
        <f t="shared" si="16"/>
        <v>48910903.069173105</v>
      </c>
      <c r="HK71" s="429">
        <f t="shared" si="17"/>
        <v>58061606.033611111</v>
      </c>
      <c r="HL71" s="429" t="str">
        <f>IF(HM71=Reference!$I$12,(HF71-GV71),"")</f>
        <v/>
      </c>
      <c r="HM71" s="429" t="str">
        <f>Reference!I71</f>
        <v/>
      </c>
      <c r="HN71" s="429" t="str">
        <f t="shared" si="19"/>
        <v/>
      </c>
      <c r="HO71" s="453"/>
      <c r="HP71" s="453"/>
      <c r="HQ71" s="453"/>
      <c r="HR71" s="465"/>
      <c r="HS71" s="453"/>
      <c r="HT71" s="453"/>
    </row>
    <row r="72" spans="189:228" ht="17.25" customHeight="1" x14ac:dyDescent="0.35">
      <c r="GG72" s="432"/>
      <c r="GJ72" s="429" t="str">
        <f>IF(GK72=$GJ$15,$GJ$15,IF(GJ$24=HF$4,SUM(GK$25:GK72),SUM(GL$25:GL72)))</f>
        <v>N</v>
      </c>
      <c r="GK72" s="438" t="str">
        <f>IFERROR('!!'!G72-'!!'!D72,$GJ$15)</f>
        <v>N</v>
      </c>
      <c r="GL72" s="429" t="str">
        <f t="shared" si="12"/>
        <v>N</v>
      </c>
      <c r="GM72" s="438">
        <f>IFERROR(('!!'!$D72)*('!!'!W72/('!!'!$G72)),0)</f>
        <v>0</v>
      </c>
      <c r="GN72" s="438">
        <f>IFERROR(('!!'!$D72)*('!!'!X72/('!!'!$G72)),0)</f>
        <v>0</v>
      </c>
      <c r="GO72" s="438">
        <f>IFERROR(('!!'!$D72)*('!!'!Y72/('!!'!$G72)),0)</f>
        <v>0</v>
      </c>
      <c r="GP72" s="438">
        <f>IFERROR(('!!'!$D72)*('!!'!Z71/('!!'!$G72)),0)</f>
        <v>0</v>
      </c>
      <c r="GQ72" s="438">
        <f>IFERROR(('!!'!$D72)*('!!'!Q72/('!!'!$G72)),0)</f>
        <v>0</v>
      </c>
      <c r="GR72" s="429">
        <v>1</v>
      </c>
      <c r="GS72" s="429">
        <v>2</v>
      </c>
      <c r="GT72" s="432">
        <f>Monitoring!C72</f>
        <v>0</v>
      </c>
      <c r="GU72" s="432">
        <f>Reference!$C72</f>
        <v>0</v>
      </c>
      <c r="GV72" s="429">
        <f>Reference!$D72</f>
        <v>0</v>
      </c>
      <c r="GW72" s="440">
        <f t="shared" si="22"/>
        <v>0</v>
      </c>
      <c r="GX72" s="440">
        <f t="shared" si="22"/>
        <v>0</v>
      </c>
      <c r="GY72" s="440">
        <f t="shared" si="22"/>
        <v>0</v>
      </c>
      <c r="GZ72" s="440">
        <f t="shared" si="22"/>
        <v>0</v>
      </c>
      <c r="HA72" s="440"/>
      <c r="HB72" s="440"/>
      <c r="HC72" s="440"/>
      <c r="HD72" s="440"/>
      <c r="HE72" s="429">
        <f t="shared" si="13"/>
        <v>48</v>
      </c>
      <c r="HF72" s="429">
        <f>SUM(GW72*Baseline!$P$24,GX72*Baseline!$P$25,GY72*Baseline!$P$26,GZ72*Baseline!$P$27,HA72*Baseline!$P$28,HB72*Baseline!$P$29,HC72*Baseline!$P$30,HD72*Baseline!$P$31,Baseline!$P$23)</f>
        <v>626.18362874044828</v>
      </c>
      <c r="HG72" s="455" t="e">
        <f t="shared" si="14"/>
        <v>#DIV/0!</v>
      </c>
      <c r="HH72" s="429" t="e">
        <f>IF(HG72&lt;=Baseline!$J$13,1,0)</f>
        <v>#DIV/0!</v>
      </c>
      <c r="HI72" s="429">
        <f t="shared" si="15"/>
        <v>392105.93690255558</v>
      </c>
      <c r="HJ72" s="429">
        <f t="shared" si="16"/>
        <v>48910903.069173105</v>
      </c>
      <c r="HK72" s="429">
        <f t="shared" si="17"/>
        <v>58061606.033611111</v>
      </c>
      <c r="HL72" s="429" t="str">
        <f>IF(HM72=Reference!$I$12,(HF72-GV72),"")</f>
        <v/>
      </c>
      <c r="HM72" s="429" t="str">
        <f>Reference!I72</f>
        <v/>
      </c>
      <c r="HN72" s="429" t="str">
        <f t="shared" si="19"/>
        <v/>
      </c>
      <c r="HO72" s="453"/>
      <c r="HP72" s="453"/>
      <c r="HQ72" s="453"/>
      <c r="HR72" s="465"/>
      <c r="HS72" s="453"/>
      <c r="HT72" s="453"/>
    </row>
    <row r="73" spans="189:228" ht="17.25" customHeight="1" x14ac:dyDescent="0.35">
      <c r="GG73" s="432"/>
      <c r="GJ73" s="429" t="str">
        <f>IF(GK73=$GJ$15,$GJ$15,IF(GJ$24=HF$4,SUM(GK$25:GK73),SUM(GL$25:GL73)))</f>
        <v>N</v>
      </c>
      <c r="GK73" s="438" t="str">
        <f>IFERROR('!!'!G73-'!!'!D73,$GJ$15)</f>
        <v>N</v>
      </c>
      <c r="GL73" s="429" t="str">
        <f t="shared" si="12"/>
        <v>N</v>
      </c>
      <c r="GM73" s="438">
        <f>IFERROR(('!!'!$D73)*('!!'!W73/('!!'!$G73)),0)</f>
        <v>0</v>
      </c>
      <c r="GN73" s="438">
        <f>IFERROR(('!!'!$D73)*('!!'!X73/('!!'!$G73)),0)</f>
        <v>0</v>
      </c>
      <c r="GO73" s="438">
        <f>IFERROR(('!!'!$D73)*('!!'!Y73/('!!'!$G73)),0)</f>
        <v>0</v>
      </c>
      <c r="GP73" s="438">
        <f>IFERROR(('!!'!$D73)*('!!'!Z72/('!!'!$G73)),0)</f>
        <v>0</v>
      </c>
      <c r="GQ73" s="438">
        <f>IFERROR(('!!'!$D73)*('!!'!Q73/('!!'!$G73)),0)</f>
        <v>0</v>
      </c>
      <c r="GR73" s="429">
        <v>1</v>
      </c>
      <c r="GS73" s="429">
        <v>2</v>
      </c>
      <c r="GT73" s="432">
        <f>Monitoring!C73</f>
        <v>0</v>
      </c>
      <c r="GU73" s="432">
        <f>Reference!$C73</f>
        <v>0</v>
      </c>
      <c r="GV73" s="429">
        <f>Reference!$D73</f>
        <v>0</v>
      </c>
      <c r="GW73" s="440">
        <f t="shared" si="22"/>
        <v>0</v>
      </c>
      <c r="GX73" s="440">
        <f t="shared" si="22"/>
        <v>0</v>
      </c>
      <c r="GY73" s="440">
        <f t="shared" si="22"/>
        <v>0</v>
      </c>
      <c r="GZ73" s="440">
        <f t="shared" si="22"/>
        <v>0</v>
      </c>
      <c r="HA73" s="440"/>
      <c r="HB73" s="440"/>
      <c r="HC73" s="440"/>
      <c r="HD73" s="440"/>
      <c r="HE73" s="429">
        <f t="shared" si="13"/>
        <v>49</v>
      </c>
      <c r="HF73" s="429">
        <f>SUM(GW73*Baseline!$P$24,GX73*Baseline!$P$25,GY73*Baseline!$P$26,GZ73*Baseline!$P$27,HA73*Baseline!$P$28,HB73*Baseline!$P$29,HC73*Baseline!$P$30,HD73*Baseline!$P$31,Baseline!$P$23)</f>
        <v>626.18362874044828</v>
      </c>
      <c r="HG73" s="455" t="e">
        <f t="shared" si="14"/>
        <v>#DIV/0!</v>
      </c>
      <c r="HH73" s="429" t="e">
        <f>IF(HG73&lt;=Baseline!$J$13,1,0)</f>
        <v>#DIV/0!</v>
      </c>
      <c r="HI73" s="429">
        <f t="shared" si="15"/>
        <v>392105.93690255558</v>
      </c>
      <c r="HJ73" s="429">
        <f t="shared" si="16"/>
        <v>48910903.069173105</v>
      </c>
      <c r="HK73" s="429">
        <f t="shared" si="17"/>
        <v>58061606.033611111</v>
      </c>
      <c r="HL73" s="429" t="str">
        <f>IF(HM73=Reference!$I$12,(HF73-GV73),"")</f>
        <v/>
      </c>
      <c r="HM73" s="429" t="str">
        <f>Reference!I73</f>
        <v/>
      </c>
      <c r="HN73" s="429" t="str">
        <f t="shared" si="19"/>
        <v/>
      </c>
      <c r="HO73" s="453"/>
      <c r="HP73" s="453"/>
      <c r="HQ73" s="453"/>
      <c r="HR73" s="465"/>
      <c r="HS73" s="453"/>
      <c r="HT73" s="453"/>
    </row>
    <row r="74" spans="189:228" ht="17.25" customHeight="1" x14ac:dyDescent="0.35">
      <c r="GG74" s="432"/>
      <c r="GJ74" s="429" t="str">
        <f>IF(GK74=$GJ$15,$GJ$15,IF(GJ$24=HF$4,SUM(GK$25:GK74),SUM(GL$25:GL74)))</f>
        <v>N</v>
      </c>
      <c r="GK74" s="438" t="str">
        <f>IFERROR('!!'!G74-'!!'!D74,$GJ$15)</f>
        <v>N</v>
      </c>
      <c r="GL74" s="429" t="str">
        <f t="shared" si="12"/>
        <v>N</v>
      </c>
      <c r="GM74" s="438">
        <f>IFERROR(('!!'!$D74)*('!!'!W74/('!!'!$G74)),0)</f>
        <v>0</v>
      </c>
      <c r="GN74" s="438">
        <f>IFERROR(('!!'!$D74)*('!!'!X74/('!!'!$G74)),0)</f>
        <v>0</v>
      </c>
      <c r="GO74" s="438">
        <f>IFERROR(('!!'!$D74)*('!!'!Y74/('!!'!$G74)),0)</f>
        <v>0</v>
      </c>
      <c r="GP74" s="438">
        <f>IFERROR(('!!'!$D74)*('!!'!Z73/('!!'!$G74)),0)</f>
        <v>0</v>
      </c>
      <c r="GQ74" s="438">
        <f>IFERROR(('!!'!$D74)*('!!'!Q74/('!!'!$G74)),0)</f>
        <v>0</v>
      </c>
      <c r="GR74" s="429">
        <v>1</v>
      </c>
      <c r="GS74" s="429">
        <v>2</v>
      </c>
      <c r="GT74" s="432">
        <f>Monitoring!C74</f>
        <v>0</v>
      </c>
      <c r="GU74" s="432">
        <f>Reference!$C74</f>
        <v>0</v>
      </c>
      <c r="GV74" s="429">
        <f>Reference!$D74</f>
        <v>0</v>
      </c>
      <c r="GW74" s="440">
        <f t="shared" si="22"/>
        <v>0</v>
      </c>
      <c r="GX74" s="440">
        <f t="shared" si="22"/>
        <v>0</v>
      </c>
      <c r="GY74" s="440">
        <f t="shared" si="22"/>
        <v>0</v>
      </c>
      <c r="GZ74" s="440">
        <f t="shared" si="22"/>
        <v>0</v>
      </c>
      <c r="HA74" s="440"/>
      <c r="HB74" s="440"/>
      <c r="HC74" s="440"/>
      <c r="HD74" s="440"/>
      <c r="HE74" s="429">
        <f t="shared" si="13"/>
        <v>50</v>
      </c>
      <c r="HF74" s="429">
        <f>SUM(GW74*Baseline!$P$24,GX74*Baseline!$P$25,GY74*Baseline!$P$26,GZ74*Baseline!$P$27,HA74*Baseline!$P$28,HB74*Baseline!$P$29,HC74*Baseline!$P$30,HD74*Baseline!$P$31,Baseline!$P$23)</f>
        <v>626.18362874044828</v>
      </c>
      <c r="HG74" s="455" t="e">
        <f t="shared" si="14"/>
        <v>#DIV/0!</v>
      </c>
      <c r="HH74" s="429" t="e">
        <f>IF(HG74&lt;=Baseline!$J$13,1,0)</f>
        <v>#DIV/0!</v>
      </c>
      <c r="HI74" s="429">
        <f t="shared" si="15"/>
        <v>392105.93690255558</v>
      </c>
      <c r="HJ74" s="429">
        <f t="shared" si="16"/>
        <v>48910903.069173105</v>
      </c>
      <c r="HK74" s="429">
        <f t="shared" si="17"/>
        <v>58061606.033611111</v>
      </c>
      <c r="HL74" s="429" t="str">
        <f>IF(HM74=Reference!$I$12,(HF74-GV74),"")</f>
        <v/>
      </c>
      <c r="HM74" s="429" t="str">
        <f>Reference!I74</f>
        <v/>
      </c>
      <c r="HN74" s="429" t="str">
        <f t="shared" si="19"/>
        <v/>
      </c>
      <c r="HO74" s="453"/>
      <c r="HP74" s="453"/>
      <c r="HQ74" s="453"/>
      <c r="HR74" s="465"/>
      <c r="HS74" s="453"/>
      <c r="HT74" s="453"/>
    </row>
    <row r="75" spans="189:228" ht="17.25" customHeight="1" x14ac:dyDescent="0.35">
      <c r="GG75" s="432"/>
      <c r="GJ75" s="429" t="str">
        <f>IF(GK75=$GJ$15,$GJ$15,IF(GJ$24=HF$4,SUM(GK$25:GK75),SUM(GL$25:GL75)))</f>
        <v>N</v>
      </c>
      <c r="GK75" s="438" t="str">
        <f>IFERROR('!!'!G75-'!!'!D75,$GJ$15)</f>
        <v>N</v>
      </c>
      <c r="GL75" s="429" t="str">
        <f t="shared" si="12"/>
        <v>N</v>
      </c>
      <c r="GM75" s="438">
        <f>IFERROR(('!!'!$D75)*('!!'!W75/('!!'!$G75)),0)</f>
        <v>0</v>
      </c>
      <c r="GN75" s="438">
        <f>IFERROR(('!!'!$D75)*('!!'!X75/('!!'!$G75)),0)</f>
        <v>0</v>
      </c>
      <c r="GO75" s="438">
        <f>IFERROR(('!!'!$D75)*('!!'!Y75/('!!'!$G75)),0)</f>
        <v>0</v>
      </c>
      <c r="GP75" s="438">
        <f>IFERROR(('!!'!$D75)*('!!'!Z74/('!!'!$G75)),0)</f>
        <v>0</v>
      </c>
      <c r="GQ75" s="438">
        <f>IFERROR(('!!'!$D75)*('!!'!Q75/('!!'!$G75)),0)</f>
        <v>0</v>
      </c>
      <c r="GR75" s="429">
        <v>1</v>
      </c>
      <c r="GS75" s="429">
        <v>2</v>
      </c>
      <c r="GT75" s="432">
        <f>Monitoring!C75</f>
        <v>0</v>
      </c>
      <c r="GU75" s="432">
        <f>Reference!$C75</f>
        <v>0</v>
      </c>
      <c r="GV75" s="429">
        <f>Reference!$D75</f>
        <v>0</v>
      </c>
      <c r="GW75" s="440">
        <f t="shared" ref="GW75:GZ84" si="23">IFERROR(VLOOKUP($GU75,Daten.B,GW$22,FALSE)^GW$23,0)</f>
        <v>0</v>
      </c>
      <c r="GX75" s="440">
        <f t="shared" si="23"/>
        <v>0</v>
      </c>
      <c r="GY75" s="440">
        <f t="shared" si="23"/>
        <v>0</v>
      </c>
      <c r="GZ75" s="440">
        <f t="shared" si="23"/>
        <v>0</v>
      </c>
      <c r="HA75" s="440"/>
      <c r="HB75" s="440"/>
      <c r="HC75" s="440"/>
      <c r="HD75" s="440"/>
      <c r="HE75" s="429">
        <f t="shared" si="13"/>
        <v>51</v>
      </c>
      <c r="HF75" s="429">
        <f>SUM(GW75*Baseline!$P$24,GX75*Baseline!$P$25,GY75*Baseline!$P$26,GZ75*Baseline!$P$27,HA75*Baseline!$P$28,HB75*Baseline!$P$29,HC75*Baseline!$P$30,HD75*Baseline!$P$31,Baseline!$P$23)</f>
        <v>626.18362874044828</v>
      </c>
      <c r="HG75" s="455" t="e">
        <f t="shared" si="14"/>
        <v>#DIV/0!</v>
      </c>
      <c r="HH75" s="429" t="e">
        <f>IF(HG75&lt;=Baseline!$J$13,1,0)</f>
        <v>#DIV/0!</v>
      </c>
      <c r="HI75" s="429">
        <f t="shared" si="15"/>
        <v>392105.93690255558</v>
      </c>
      <c r="HJ75" s="429">
        <f t="shared" si="16"/>
        <v>48910903.069173105</v>
      </c>
      <c r="HK75" s="429">
        <f t="shared" si="17"/>
        <v>58061606.033611111</v>
      </c>
      <c r="HL75" s="429" t="str">
        <f>IF(HM75=Reference!$I$12,(HF75-GV75),"")</f>
        <v/>
      </c>
      <c r="HM75" s="429" t="str">
        <f>Reference!I75</f>
        <v/>
      </c>
      <c r="HN75" s="429" t="str">
        <f t="shared" si="19"/>
        <v/>
      </c>
      <c r="HO75" s="453"/>
      <c r="HP75" s="453"/>
      <c r="HQ75" s="453"/>
      <c r="HR75" s="465"/>
      <c r="HS75" s="453"/>
      <c r="HT75" s="453"/>
    </row>
    <row r="76" spans="189:228" ht="17.25" customHeight="1" x14ac:dyDescent="0.35">
      <c r="GG76" s="432"/>
      <c r="GJ76" s="429" t="str">
        <f>IF(GK76=$GJ$15,$GJ$15,IF(GJ$24=HF$4,SUM(GK$25:GK76),SUM(GL$25:GL76)))</f>
        <v>N</v>
      </c>
      <c r="GK76" s="438" t="str">
        <f>IFERROR('!!'!G76-'!!'!D76,$GJ$15)</f>
        <v>N</v>
      </c>
      <c r="GL76" s="429" t="str">
        <f t="shared" si="12"/>
        <v>N</v>
      </c>
      <c r="GM76" s="438">
        <f>IFERROR(('!!'!$D76)*('!!'!W76/('!!'!$G76)),0)</f>
        <v>0</v>
      </c>
      <c r="GN76" s="438">
        <f>IFERROR(('!!'!$D76)*('!!'!X76/('!!'!$G76)),0)</f>
        <v>0</v>
      </c>
      <c r="GO76" s="438">
        <f>IFERROR(('!!'!$D76)*('!!'!Y76/('!!'!$G76)),0)</f>
        <v>0</v>
      </c>
      <c r="GP76" s="438">
        <f>IFERROR(('!!'!$D76)*('!!'!Z75/('!!'!$G76)),0)</f>
        <v>0</v>
      </c>
      <c r="GQ76" s="438">
        <f>IFERROR(('!!'!$D76)*('!!'!Q76/('!!'!$G76)),0)</f>
        <v>0</v>
      </c>
      <c r="GR76" s="429">
        <v>1</v>
      </c>
      <c r="GS76" s="429">
        <v>2</v>
      </c>
      <c r="GT76" s="432">
        <f>Monitoring!C76</f>
        <v>0</v>
      </c>
      <c r="GU76" s="432">
        <f>Reference!$C76</f>
        <v>0</v>
      </c>
      <c r="GV76" s="429">
        <f>Reference!$D76</f>
        <v>0</v>
      </c>
      <c r="GW76" s="440">
        <f t="shared" si="23"/>
        <v>0</v>
      </c>
      <c r="GX76" s="440">
        <f t="shared" si="23"/>
        <v>0</v>
      </c>
      <c r="GY76" s="440">
        <f t="shared" si="23"/>
        <v>0</v>
      </c>
      <c r="GZ76" s="440">
        <f t="shared" si="23"/>
        <v>0</v>
      </c>
      <c r="HA76" s="440"/>
      <c r="HB76" s="440"/>
      <c r="HC76" s="440"/>
      <c r="HD76" s="440"/>
      <c r="HE76" s="429">
        <f t="shared" si="13"/>
        <v>52</v>
      </c>
      <c r="HF76" s="429">
        <f>SUM(GW76*Baseline!$P$24,GX76*Baseline!$P$25,GY76*Baseline!$P$26,GZ76*Baseline!$P$27,HA76*Baseline!$P$28,HB76*Baseline!$P$29,HC76*Baseline!$P$30,HD76*Baseline!$P$31,Baseline!$P$23)</f>
        <v>626.18362874044828</v>
      </c>
      <c r="HG76" s="455" t="e">
        <f t="shared" si="14"/>
        <v>#DIV/0!</v>
      </c>
      <c r="HH76" s="429" t="e">
        <f>IF(HG76&lt;=Baseline!$J$13,1,0)</f>
        <v>#DIV/0!</v>
      </c>
      <c r="HI76" s="429">
        <f t="shared" si="15"/>
        <v>392105.93690255558</v>
      </c>
      <c r="HJ76" s="429">
        <f t="shared" si="16"/>
        <v>48910903.069173105</v>
      </c>
      <c r="HK76" s="429">
        <f t="shared" si="17"/>
        <v>58061606.033611111</v>
      </c>
      <c r="HL76" s="429" t="str">
        <f>IF(HM76=Reference!$I$12,(HF76-GV76),"")</f>
        <v/>
      </c>
      <c r="HM76" s="429" t="str">
        <f>Reference!I76</f>
        <v/>
      </c>
      <c r="HN76" s="429" t="str">
        <f t="shared" si="19"/>
        <v/>
      </c>
      <c r="HO76" s="453"/>
      <c r="HP76" s="453"/>
      <c r="HQ76" s="453"/>
      <c r="HR76" s="465"/>
      <c r="HS76" s="453"/>
      <c r="HT76" s="453"/>
    </row>
    <row r="77" spans="189:228" ht="17.25" customHeight="1" x14ac:dyDescent="0.35">
      <c r="GG77" s="432"/>
      <c r="GJ77" s="429" t="str">
        <f>IF(GK77=$GJ$15,$GJ$15,IF(GJ$24=HF$4,SUM(GK$25:GK77),SUM(GL$25:GL77)))</f>
        <v>N</v>
      </c>
      <c r="GK77" s="438" t="str">
        <f>IFERROR('!!'!G77-'!!'!D77,$GJ$15)</f>
        <v>N</v>
      </c>
      <c r="GL77" s="429" t="str">
        <f t="shared" si="12"/>
        <v>N</v>
      </c>
      <c r="GM77" s="438">
        <f>IFERROR(('!!'!$D77)*('!!'!W77/('!!'!$G77)),0)</f>
        <v>0</v>
      </c>
      <c r="GN77" s="438">
        <f>IFERROR(('!!'!$D77)*('!!'!X77/('!!'!$G77)),0)</f>
        <v>0</v>
      </c>
      <c r="GO77" s="438">
        <f>IFERROR(('!!'!$D77)*('!!'!Y77/('!!'!$G77)),0)</f>
        <v>0</v>
      </c>
      <c r="GP77" s="438">
        <f>IFERROR(('!!'!$D77)*('!!'!Z76/('!!'!$G77)),0)</f>
        <v>0</v>
      </c>
      <c r="GQ77" s="438">
        <f>IFERROR(('!!'!$D77)*('!!'!Q77/('!!'!$G77)),0)</f>
        <v>0</v>
      </c>
      <c r="GR77" s="429">
        <v>1</v>
      </c>
      <c r="GS77" s="429">
        <v>2</v>
      </c>
      <c r="GT77" s="432">
        <f>Monitoring!C77</f>
        <v>0</v>
      </c>
      <c r="GU77" s="432">
        <f>Reference!$C77</f>
        <v>0</v>
      </c>
      <c r="GV77" s="429">
        <f>Reference!$D77</f>
        <v>0</v>
      </c>
      <c r="GW77" s="440">
        <f t="shared" si="23"/>
        <v>0</v>
      </c>
      <c r="GX77" s="440">
        <f t="shared" si="23"/>
        <v>0</v>
      </c>
      <c r="GY77" s="440">
        <f t="shared" si="23"/>
        <v>0</v>
      </c>
      <c r="GZ77" s="440">
        <f t="shared" si="23"/>
        <v>0</v>
      </c>
      <c r="HA77" s="440"/>
      <c r="HB77" s="440"/>
      <c r="HC77" s="440"/>
      <c r="HD77" s="440"/>
      <c r="HE77" s="429">
        <f t="shared" si="13"/>
        <v>53</v>
      </c>
      <c r="HF77" s="429">
        <f>SUM(GW77*Baseline!$P$24,GX77*Baseline!$P$25,GY77*Baseline!$P$26,GZ77*Baseline!$P$27,HA77*Baseline!$P$28,HB77*Baseline!$P$29,HC77*Baseline!$P$30,HD77*Baseline!$P$31,Baseline!$P$23)</f>
        <v>626.18362874044828</v>
      </c>
      <c r="HG77" s="455" t="e">
        <f t="shared" si="14"/>
        <v>#DIV/0!</v>
      </c>
      <c r="HH77" s="429" t="e">
        <f>IF(HG77&lt;=Baseline!$J$13,1,0)</f>
        <v>#DIV/0!</v>
      </c>
      <c r="HI77" s="429">
        <f t="shared" si="15"/>
        <v>392105.93690255558</v>
      </c>
      <c r="HJ77" s="429">
        <f t="shared" si="16"/>
        <v>48910903.069173105</v>
      </c>
      <c r="HK77" s="429">
        <f t="shared" si="17"/>
        <v>58061606.033611111</v>
      </c>
      <c r="HL77" s="429" t="str">
        <f>IF(HM77=Reference!$I$12,(HF77-GV77),"")</f>
        <v/>
      </c>
      <c r="HM77" s="429" t="str">
        <f>Reference!I77</f>
        <v/>
      </c>
      <c r="HN77" s="429" t="str">
        <f t="shared" si="19"/>
        <v/>
      </c>
      <c r="HO77" s="453"/>
      <c r="HP77" s="453"/>
      <c r="HQ77" s="453"/>
      <c r="HR77" s="465"/>
      <c r="HS77" s="453"/>
      <c r="HT77" s="453"/>
    </row>
    <row r="78" spans="189:228" ht="17.25" customHeight="1" x14ac:dyDescent="0.35">
      <c r="GG78" s="432"/>
      <c r="GJ78" s="429" t="str">
        <f>IF(GK78=$GJ$15,$GJ$15,IF(GJ$24=HF$4,SUM(GK$25:GK78),SUM(GL$25:GL78)))</f>
        <v>N</v>
      </c>
      <c r="GK78" s="438" t="str">
        <f>IFERROR('!!'!G78-'!!'!D78,$GJ$15)</f>
        <v>N</v>
      </c>
      <c r="GL78" s="429" t="str">
        <f t="shared" si="12"/>
        <v>N</v>
      </c>
      <c r="GM78" s="438">
        <f>IFERROR(('!!'!$D78)*('!!'!W78/('!!'!$G78)),0)</f>
        <v>0</v>
      </c>
      <c r="GN78" s="438">
        <f>IFERROR(('!!'!$D78)*('!!'!X78/('!!'!$G78)),0)</f>
        <v>0</v>
      </c>
      <c r="GO78" s="438">
        <f>IFERROR(('!!'!$D78)*('!!'!Y78/('!!'!$G78)),0)</f>
        <v>0</v>
      </c>
      <c r="GP78" s="438">
        <f>IFERROR(('!!'!$D78)*('!!'!Z77/('!!'!$G78)),0)</f>
        <v>0</v>
      </c>
      <c r="GQ78" s="438">
        <f>IFERROR(('!!'!$D78)*('!!'!Q78/('!!'!$G78)),0)</f>
        <v>0</v>
      </c>
      <c r="GR78" s="429">
        <v>1</v>
      </c>
      <c r="GS78" s="429">
        <v>2</v>
      </c>
      <c r="GT78" s="432">
        <f>Monitoring!C78</f>
        <v>0</v>
      </c>
      <c r="GU78" s="432">
        <f>Reference!$C78</f>
        <v>0</v>
      </c>
      <c r="GV78" s="429">
        <f>Reference!$D78</f>
        <v>0</v>
      </c>
      <c r="GW78" s="440">
        <f t="shared" si="23"/>
        <v>0</v>
      </c>
      <c r="GX78" s="440">
        <f t="shared" si="23"/>
        <v>0</v>
      </c>
      <c r="GY78" s="440">
        <f t="shared" si="23"/>
        <v>0</v>
      </c>
      <c r="GZ78" s="440">
        <f t="shared" si="23"/>
        <v>0</v>
      </c>
      <c r="HA78" s="440"/>
      <c r="HB78" s="440"/>
      <c r="HC78" s="440"/>
      <c r="HD78" s="440"/>
      <c r="HE78" s="429">
        <f t="shared" si="13"/>
        <v>54</v>
      </c>
      <c r="HF78" s="429">
        <f>SUM(GW78*Baseline!$P$24,GX78*Baseline!$P$25,GY78*Baseline!$P$26,GZ78*Baseline!$P$27,HA78*Baseline!$P$28,HB78*Baseline!$P$29,HC78*Baseline!$P$30,HD78*Baseline!$P$31,Baseline!$P$23)</f>
        <v>626.18362874044828</v>
      </c>
      <c r="HG78" s="455" t="e">
        <f t="shared" si="14"/>
        <v>#DIV/0!</v>
      </c>
      <c r="HH78" s="429" t="e">
        <f>IF(HG78&lt;=Baseline!$J$13,1,0)</f>
        <v>#DIV/0!</v>
      </c>
      <c r="HI78" s="429">
        <f t="shared" si="15"/>
        <v>392105.93690255558</v>
      </c>
      <c r="HJ78" s="429">
        <f t="shared" si="16"/>
        <v>48910903.069173105</v>
      </c>
      <c r="HK78" s="429">
        <f t="shared" si="17"/>
        <v>58061606.033611111</v>
      </c>
      <c r="HL78" s="429" t="str">
        <f>IF(HM78=Reference!$I$12,(HF78-GV78),"")</f>
        <v/>
      </c>
      <c r="HM78" s="429" t="str">
        <f>Reference!I78</f>
        <v/>
      </c>
      <c r="HN78" s="429" t="str">
        <f t="shared" si="19"/>
        <v/>
      </c>
      <c r="HO78" s="453"/>
      <c r="HP78" s="453"/>
      <c r="HQ78" s="453"/>
      <c r="HR78" s="465"/>
      <c r="HS78" s="453"/>
      <c r="HT78" s="453"/>
    </row>
    <row r="79" spans="189:228" ht="17.25" customHeight="1" x14ac:dyDescent="0.35">
      <c r="GG79" s="432"/>
      <c r="GJ79" s="429" t="str">
        <f>IF(GK79=$GJ$15,$GJ$15,IF(GJ$24=HF$4,SUM(GK$25:GK79),SUM(GL$25:GL79)))</f>
        <v>N</v>
      </c>
      <c r="GK79" s="438" t="str">
        <f>IFERROR('!!'!G79-'!!'!D79,$GJ$15)</f>
        <v>N</v>
      </c>
      <c r="GL79" s="429" t="str">
        <f t="shared" si="12"/>
        <v>N</v>
      </c>
      <c r="GM79" s="438">
        <f>IFERROR(('!!'!$D79)*('!!'!W79/('!!'!$G79)),0)</f>
        <v>0</v>
      </c>
      <c r="GN79" s="438">
        <f>IFERROR(('!!'!$D79)*('!!'!X79/('!!'!$G79)),0)</f>
        <v>0</v>
      </c>
      <c r="GO79" s="438">
        <f>IFERROR(('!!'!$D79)*('!!'!Y79/('!!'!$G79)),0)</f>
        <v>0</v>
      </c>
      <c r="GP79" s="438">
        <f>IFERROR(('!!'!$D79)*('!!'!Z78/('!!'!$G79)),0)</f>
        <v>0</v>
      </c>
      <c r="GQ79" s="438">
        <f>IFERROR(('!!'!$D79)*('!!'!Q79/('!!'!$G79)),0)</f>
        <v>0</v>
      </c>
      <c r="GR79" s="429">
        <v>1</v>
      </c>
      <c r="GS79" s="429">
        <v>2</v>
      </c>
      <c r="GT79" s="432">
        <f>Monitoring!C79</f>
        <v>0</v>
      </c>
      <c r="GU79" s="432">
        <f>Reference!$C79</f>
        <v>0</v>
      </c>
      <c r="GV79" s="429">
        <f>Reference!$D79</f>
        <v>0</v>
      </c>
      <c r="GW79" s="440">
        <f t="shared" si="23"/>
        <v>0</v>
      </c>
      <c r="GX79" s="440">
        <f t="shared" si="23"/>
        <v>0</v>
      </c>
      <c r="GY79" s="440">
        <f t="shared" si="23"/>
        <v>0</v>
      </c>
      <c r="GZ79" s="440">
        <f t="shared" si="23"/>
        <v>0</v>
      </c>
      <c r="HA79" s="440"/>
      <c r="HB79" s="440"/>
      <c r="HC79" s="440"/>
      <c r="HD79" s="440"/>
      <c r="HE79" s="429">
        <f t="shared" si="13"/>
        <v>55</v>
      </c>
      <c r="HF79" s="429">
        <f>SUM(GW79*Baseline!$P$24,GX79*Baseline!$P$25,GY79*Baseline!$P$26,GZ79*Baseline!$P$27,HA79*Baseline!$P$28,HB79*Baseline!$P$29,HC79*Baseline!$P$30,HD79*Baseline!$P$31,Baseline!$P$23)</f>
        <v>626.18362874044828</v>
      </c>
      <c r="HG79" s="455" t="e">
        <f t="shared" si="14"/>
        <v>#DIV/0!</v>
      </c>
      <c r="HH79" s="429" t="e">
        <f>IF(HG79&lt;=Baseline!$J$13,1,0)</f>
        <v>#DIV/0!</v>
      </c>
      <c r="HI79" s="429">
        <f t="shared" si="15"/>
        <v>392105.93690255558</v>
      </c>
      <c r="HJ79" s="429">
        <f t="shared" si="16"/>
        <v>48910903.069173105</v>
      </c>
      <c r="HK79" s="429">
        <f t="shared" si="17"/>
        <v>58061606.033611111</v>
      </c>
      <c r="HL79" s="429" t="str">
        <f>IF(HM79=Reference!$I$12,(HF79-GV79),"")</f>
        <v/>
      </c>
      <c r="HM79" s="429" t="str">
        <f>Reference!I79</f>
        <v/>
      </c>
      <c r="HN79" s="429" t="str">
        <f t="shared" si="19"/>
        <v/>
      </c>
      <c r="HO79" s="453"/>
      <c r="HP79" s="453"/>
      <c r="HQ79" s="453"/>
      <c r="HR79" s="465"/>
      <c r="HS79" s="453"/>
      <c r="HT79" s="453"/>
    </row>
    <row r="80" spans="189:228" ht="17.25" customHeight="1" x14ac:dyDescent="0.35">
      <c r="GG80" s="432"/>
      <c r="GJ80" s="429" t="str">
        <f>IF(GK80=$GJ$15,$GJ$15,IF(GJ$24=HF$4,SUM(GK$25:GK80),SUM(GL$25:GL80)))</f>
        <v>N</v>
      </c>
      <c r="GK80" s="438" t="str">
        <f>IFERROR('!!'!G80-'!!'!D80,$GJ$15)</f>
        <v>N</v>
      </c>
      <c r="GL80" s="429" t="str">
        <f t="shared" si="12"/>
        <v>N</v>
      </c>
      <c r="GM80" s="438">
        <f>IFERROR(('!!'!$D80)*('!!'!W80/('!!'!$G80)),0)</f>
        <v>0</v>
      </c>
      <c r="GN80" s="438">
        <f>IFERROR(('!!'!$D80)*('!!'!X80/('!!'!$G80)),0)</f>
        <v>0</v>
      </c>
      <c r="GO80" s="438">
        <f>IFERROR(('!!'!$D80)*('!!'!Y80/('!!'!$G80)),0)</f>
        <v>0</v>
      </c>
      <c r="GP80" s="438">
        <f>IFERROR(('!!'!$D80)*('!!'!Z79/('!!'!$G80)),0)</f>
        <v>0</v>
      </c>
      <c r="GQ80" s="438">
        <f>IFERROR(('!!'!$D80)*('!!'!Q80/('!!'!$G80)),0)</f>
        <v>0</v>
      </c>
      <c r="GR80" s="429">
        <v>1</v>
      </c>
      <c r="GS80" s="429">
        <v>2</v>
      </c>
      <c r="GT80" s="432">
        <f>Monitoring!C80</f>
        <v>0</v>
      </c>
      <c r="GU80" s="432">
        <f>Reference!$C80</f>
        <v>0</v>
      </c>
      <c r="GV80" s="429">
        <f>Reference!$D80</f>
        <v>0</v>
      </c>
      <c r="GW80" s="440">
        <f t="shared" si="23"/>
        <v>0</v>
      </c>
      <c r="GX80" s="440">
        <f t="shared" si="23"/>
        <v>0</v>
      </c>
      <c r="GY80" s="440">
        <f t="shared" si="23"/>
        <v>0</v>
      </c>
      <c r="GZ80" s="440">
        <f t="shared" si="23"/>
        <v>0</v>
      </c>
      <c r="HA80" s="440"/>
      <c r="HB80" s="440"/>
      <c r="HC80" s="440"/>
      <c r="HD80" s="440"/>
      <c r="HE80" s="429">
        <f t="shared" si="13"/>
        <v>56</v>
      </c>
      <c r="HF80" s="429">
        <f>SUM(GW80*Baseline!$P$24,GX80*Baseline!$P$25,GY80*Baseline!$P$26,GZ80*Baseline!$P$27,HA80*Baseline!$P$28,HB80*Baseline!$P$29,HC80*Baseline!$P$30,HD80*Baseline!$P$31,Baseline!$P$23)</f>
        <v>626.18362874044828</v>
      </c>
      <c r="HG80" s="455" t="e">
        <f t="shared" si="14"/>
        <v>#DIV/0!</v>
      </c>
      <c r="HH80" s="429" t="e">
        <f>IF(HG80&lt;=Baseline!$J$13,1,0)</f>
        <v>#DIV/0!</v>
      </c>
      <c r="HI80" s="429">
        <f t="shared" si="15"/>
        <v>392105.93690255558</v>
      </c>
      <c r="HJ80" s="429">
        <f t="shared" si="16"/>
        <v>48910903.069173105</v>
      </c>
      <c r="HK80" s="429">
        <f t="shared" si="17"/>
        <v>58061606.033611111</v>
      </c>
      <c r="HL80" s="429" t="str">
        <f>IF(HM80=Reference!$I$12,(HF80-GV80),"")</f>
        <v/>
      </c>
      <c r="HM80" s="429" t="str">
        <f>Reference!I80</f>
        <v/>
      </c>
      <c r="HN80" s="429" t="str">
        <f t="shared" si="19"/>
        <v/>
      </c>
      <c r="HO80" s="453"/>
      <c r="HP80" s="453"/>
      <c r="HQ80" s="453"/>
      <c r="HR80" s="465"/>
      <c r="HS80" s="453"/>
      <c r="HT80" s="453"/>
    </row>
    <row r="81" spans="189:228" ht="17.25" customHeight="1" x14ac:dyDescent="0.35">
      <c r="GG81" s="432"/>
      <c r="GJ81" s="429" t="str">
        <f>IF(GK81=$GJ$15,$GJ$15,IF(GJ$24=HF$4,SUM(GK$25:GK81),SUM(GL$25:GL81)))</f>
        <v>N</v>
      </c>
      <c r="GK81" s="438" t="str">
        <f>IFERROR('!!'!G81-'!!'!D81,$GJ$15)</f>
        <v>N</v>
      </c>
      <c r="GL81" s="429" t="str">
        <f t="shared" si="12"/>
        <v>N</v>
      </c>
      <c r="GM81" s="438">
        <f>IFERROR(('!!'!$D81)*('!!'!W81/('!!'!$G81)),0)</f>
        <v>0</v>
      </c>
      <c r="GN81" s="438">
        <f>IFERROR(('!!'!$D81)*('!!'!X81/('!!'!$G81)),0)</f>
        <v>0</v>
      </c>
      <c r="GO81" s="438">
        <f>IFERROR(('!!'!$D81)*('!!'!Y81/('!!'!$G81)),0)</f>
        <v>0</v>
      </c>
      <c r="GP81" s="438">
        <f>IFERROR(('!!'!$D81)*('!!'!Z80/('!!'!$G81)),0)</f>
        <v>0</v>
      </c>
      <c r="GQ81" s="438">
        <f>IFERROR(('!!'!$D81)*('!!'!Q81/('!!'!$G81)),0)</f>
        <v>0</v>
      </c>
      <c r="GR81" s="429">
        <v>1</v>
      </c>
      <c r="GS81" s="429">
        <v>2</v>
      </c>
      <c r="GT81" s="432">
        <f>Monitoring!C81</f>
        <v>0</v>
      </c>
      <c r="GU81" s="432">
        <f>Reference!$C81</f>
        <v>0</v>
      </c>
      <c r="GV81" s="429">
        <f>Reference!$D81</f>
        <v>0</v>
      </c>
      <c r="GW81" s="440">
        <f t="shared" si="23"/>
        <v>0</v>
      </c>
      <c r="GX81" s="440">
        <f t="shared" si="23"/>
        <v>0</v>
      </c>
      <c r="GY81" s="440">
        <f t="shared" si="23"/>
        <v>0</v>
      </c>
      <c r="GZ81" s="440">
        <f t="shared" si="23"/>
        <v>0</v>
      </c>
      <c r="HA81" s="440"/>
      <c r="HB81" s="440"/>
      <c r="HC81" s="440"/>
      <c r="HD81" s="440"/>
      <c r="HE81" s="429">
        <f t="shared" si="13"/>
        <v>57</v>
      </c>
      <c r="HF81" s="429">
        <f>SUM(GW81*Baseline!$P$24,GX81*Baseline!$P$25,GY81*Baseline!$P$26,GZ81*Baseline!$P$27,HA81*Baseline!$P$28,HB81*Baseline!$P$29,HC81*Baseline!$P$30,HD81*Baseline!$P$31,Baseline!$P$23)</f>
        <v>626.18362874044828</v>
      </c>
      <c r="HG81" s="455" t="e">
        <f t="shared" si="14"/>
        <v>#DIV/0!</v>
      </c>
      <c r="HH81" s="429" t="e">
        <f>IF(HG81&lt;=Baseline!$J$13,1,0)</f>
        <v>#DIV/0!</v>
      </c>
      <c r="HI81" s="429">
        <f t="shared" si="15"/>
        <v>392105.93690255558</v>
      </c>
      <c r="HJ81" s="429">
        <f t="shared" si="16"/>
        <v>48910903.069173105</v>
      </c>
      <c r="HK81" s="429">
        <f t="shared" si="17"/>
        <v>58061606.033611111</v>
      </c>
      <c r="HL81" s="429" t="str">
        <f>IF(HM81=Reference!$I$12,(HF81-GV81),"")</f>
        <v/>
      </c>
      <c r="HM81" s="429" t="str">
        <f>Reference!I81</f>
        <v/>
      </c>
      <c r="HN81" s="429" t="str">
        <f t="shared" si="19"/>
        <v/>
      </c>
      <c r="HO81" s="453"/>
      <c r="HP81" s="453"/>
      <c r="HQ81" s="453"/>
      <c r="HR81" s="465"/>
      <c r="HS81" s="453"/>
      <c r="HT81" s="453"/>
    </row>
    <row r="82" spans="189:228" ht="17.25" customHeight="1" x14ac:dyDescent="0.35">
      <c r="GG82" s="432"/>
      <c r="GJ82" s="429" t="str">
        <f>IF(GK82=$GJ$15,$GJ$15,IF(GJ$24=HF$4,SUM(GK$25:GK82),SUM(GL$25:GL82)))</f>
        <v>N</v>
      </c>
      <c r="GK82" s="438" t="str">
        <f>IFERROR('!!'!G82-'!!'!D82,$GJ$15)</f>
        <v>N</v>
      </c>
      <c r="GL82" s="429" t="str">
        <f t="shared" si="12"/>
        <v>N</v>
      </c>
      <c r="GM82" s="438">
        <f>IFERROR(('!!'!$D82)*('!!'!W82/('!!'!$G82)),0)</f>
        <v>0</v>
      </c>
      <c r="GN82" s="438">
        <f>IFERROR(('!!'!$D82)*('!!'!X82/('!!'!$G82)),0)</f>
        <v>0</v>
      </c>
      <c r="GO82" s="438">
        <f>IFERROR(('!!'!$D82)*('!!'!Y82/('!!'!$G82)),0)</f>
        <v>0</v>
      </c>
      <c r="GP82" s="438">
        <f>IFERROR(('!!'!$D82)*('!!'!Z81/('!!'!$G82)),0)</f>
        <v>0</v>
      </c>
      <c r="GQ82" s="438">
        <f>IFERROR(('!!'!$D82)*('!!'!Q82/('!!'!$G82)),0)</f>
        <v>0</v>
      </c>
      <c r="GR82" s="429">
        <v>1</v>
      </c>
      <c r="GS82" s="429">
        <v>2</v>
      </c>
      <c r="GT82" s="432">
        <f>Monitoring!C82</f>
        <v>0</v>
      </c>
      <c r="GU82" s="432">
        <f>Reference!$C82</f>
        <v>0</v>
      </c>
      <c r="GV82" s="429">
        <f>Reference!$D82</f>
        <v>0</v>
      </c>
      <c r="GW82" s="440">
        <f t="shared" si="23"/>
        <v>0</v>
      </c>
      <c r="GX82" s="440">
        <f t="shared" si="23"/>
        <v>0</v>
      </c>
      <c r="GY82" s="440">
        <f t="shared" si="23"/>
        <v>0</v>
      </c>
      <c r="GZ82" s="440">
        <f t="shared" si="23"/>
        <v>0</v>
      </c>
      <c r="HA82" s="440"/>
      <c r="HB82" s="440"/>
      <c r="HC82" s="440"/>
      <c r="HD82" s="440"/>
      <c r="HE82" s="429">
        <f t="shared" si="13"/>
        <v>58</v>
      </c>
      <c r="HF82" s="429">
        <f>SUM(GW82*Baseline!$P$24,GX82*Baseline!$P$25,GY82*Baseline!$P$26,GZ82*Baseline!$P$27,HA82*Baseline!$P$28,HB82*Baseline!$P$29,HC82*Baseline!$P$30,HD82*Baseline!$P$31,Baseline!$P$23)</f>
        <v>626.18362874044828</v>
      </c>
      <c r="HG82" s="455" t="e">
        <f t="shared" si="14"/>
        <v>#DIV/0!</v>
      </c>
      <c r="HH82" s="429" t="e">
        <f>IF(HG82&lt;=Baseline!$J$13,1,0)</f>
        <v>#DIV/0!</v>
      </c>
      <c r="HI82" s="429">
        <f t="shared" si="15"/>
        <v>392105.93690255558</v>
      </c>
      <c r="HJ82" s="429">
        <f t="shared" si="16"/>
        <v>48910903.069173105</v>
      </c>
      <c r="HK82" s="429">
        <f t="shared" si="17"/>
        <v>58061606.033611111</v>
      </c>
      <c r="HL82" s="429" t="str">
        <f>IF(HM82=Reference!$I$12,(HF82-GV82),"")</f>
        <v/>
      </c>
      <c r="HM82" s="429" t="str">
        <f>Reference!I82</f>
        <v/>
      </c>
      <c r="HN82" s="429" t="str">
        <f t="shared" si="19"/>
        <v/>
      </c>
      <c r="HO82" s="453"/>
      <c r="HP82" s="453"/>
      <c r="HQ82" s="453"/>
      <c r="HR82" s="465"/>
      <c r="HS82" s="453"/>
      <c r="HT82" s="453"/>
    </row>
    <row r="83" spans="189:228" ht="17.25" customHeight="1" x14ac:dyDescent="0.35">
      <c r="GG83" s="432"/>
      <c r="GJ83" s="429" t="str">
        <f>IF(GK83=$GJ$15,$GJ$15,IF(GJ$24=HF$4,SUM(GK$25:GK83),SUM(GL$25:GL83)))</f>
        <v>N</v>
      </c>
      <c r="GK83" s="438" t="str">
        <f>IFERROR('!!'!G83-'!!'!D83,$GJ$15)</f>
        <v>N</v>
      </c>
      <c r="GL83" s="429" t="str">
        <f t="shared" si="12"/>
        <v>N</v>
      </c>
      <c r="GM83" s="438">
        <f>IFERROR(('!!'!$D83)*('!!'!W83/('!!'!$G83)),0)</f>
        <v>0</v>
      </c>
      <c r="GN83" s="438">
        <f>IFERROR(('!!'!$D83)*('!!'!X83/('!!'!$G83)),0)</f>
        <v>0</v>
      </c>
      <c r="GO83" s="438">
        <f>IFERROR(('!!'!$D83)*('!!'!Y83/('!!'!$G83)),0)</f>
        <v>0</v>
      </c>
      <c r="GP83" s="438">
        <f>IFERROR(('!!'!$D83)*('!!'!Z82/('!!'!$G83)),0)</f>
        <v>0</v>
      </c>
      <c r="GQ83" s="438">
        <f>IFERROR(('!!'!$D83)*('!!'!Q83/('!!'!$G83)),0)</f>
        <v>0</v>
      </c>
      <c r="GR83" s="429">
        <v>1</v>
      </c>
      <c r="GS83" s="429">
        <v>2</v>
      </c>
      <c r="GT83" s="432">
        <f>Monitoring!C83</f>
        <v>0</v>
      </c>
      <c r="GU83" s="432">
        <f>Reference!$C83</f>
        <v>0</v>
      </c>
      <c r="GV83" s="429">
        <f>Reference!$D83</f>
        <v>0</v>
      </c>
      <c r="GW83" s="440">
        <f t="shared" si="23"/>
        <v>0</v>
      </c>
      <c r="GX83" s="440">
        <f t="shared" si="23"/>
        <v>0</v>
      </c>
      <c r="GY83" s="440">
        <f t="shared" si="23"/>
        <v>0</v>
      </c>
      <c r="GZ83" s="440">
        <f t="shared" si="23"/>
        <v>0</v>
      </c>
      <c r="HA83" s="440"/>
      <c r="HB83" s="440"/>
      <c r="HC83" s="440"/>
      <c r="HD83" s="440"/>
      <c r="HE83" s="429">
        <f t="shared" si="13"/>
        <v>59</v>
      </c>
      <c r="HF83" s="429">
        <f>SUM(GW83*Baseline!$P$24,GX83*Baseline!$P$25,GY83*Baseline!$P$26,GZ83*Baseline!$P$27,HA83*Baseline!$P$28,HB83*Baseline!$P$29,HC83*Baseline!$P$30,HD83*Baseline!$P$31,Baseline!$P$23)</f>
        <v>626.18362874044828</v>
      </c>
      <c r="HG83" s="455" t="e">
        <f t="shared" si="14"/>
        <v>#DIV/0!</v>
      </c>
      <c r="HH83" s="429" t="e">
        <f>IF(HG83&lt;=Baseline!$J$13,1,0)</f>
        <v>#DIV/0!</v>
      </c>
      <c r="HI83" s="429">
        <f t="shared" si="15"/>
        <v>392105.93690255558</v>
      </c>
      <c r="HJ83" s="429">
        <f t="shared" si="16"/>
        <v>48910903.069173105</v>
      </c>
      <c r="HK83" s="429">
        <f t="shared" si="17"/>
        <v>58061606.033611111</v>
      </c>
      <c r="HL83" s="429" t="str">
        <f>IF(HM83=Reference!$I$12,(HF83-GV83),"")</f>
        <v/>
      </c>
      <c r="HM83" s="429" t="str">
        <f>Reference!I83</f>
        <v/>
      </c>
      <c r="HN83" s="429" t="str">
        <f t="shared" si="19"/>
        <v/>
      </c>
      <c r="HO83" s="453"/>
      <c r="HP83" s="453"/>
      <c r="HQ83" s="453"/>
      <c r="HR83" s="465"/>
      <c r="HS83" s="453"/>
      <c r="HT83" s="453"/>
    </row>
    <row r="84" spans="189:228" ht="17.25" customHeight="1" x14ac:dyDescent="0.35">
      <c r="GG84" s="432"/>
      <c r="GJ84" s="429" t="str">
        <f>IF(GK84=$GJ$15,$GJ$15,IF(GJ$24=HF$4,SUM(GK$25:GK84),SUM(GL$25:GL84)))</f>
        <v>N</v>
      </c>
      <c r="GK84" s="438" t="str">
        <f>IFERROR('!!'!G84-'!!'!D84,$GJ$15)</f>
        <v>N</v>
      </c>
      <c r="GL84" s="429" t="str">
        <f t="shared" si="12"/>
        <v>N</v>
      </c>
      <c r="GM84" s="438">
        <f>IFERROR(('!!'!$D84)*('!!'!W84/('!!'!$G84)),0)</f>
        <v>0</v>
      </c>
      <c r="GN84" s="438">
        <f>IFERROR(('!!'!$D84)*('!!'!X84/('!!'!$G84)),0)</f>
        <v>0</v>
      </c>
      <c r="GO84" s="438">
        <f>IFERROR(('!!'!$D84)*('!!'!Y84/('!!'!$G84)),0)</f>
        <v>0</v>
      </c>
      <c r="GP84" s="438">
        <f>IFERROR(('!!'!$D84)*('!!'!Z83/('!!'!$G84)),0)</f>
        <v>0</v>
      </c>
      <c r="GQ84" s="438">
        <f>IFERROR(('!!'!$D84)*('!!'!Q84/('!!'!$G84)),0)</f>
        <v>0</v>
      </c>
      <c r="GR84" s="429">
        <v>1</v>
      </c>
      <c r="GS84" s="429">
        <v>2</v>
      </c>
      <c r="GT84" s="432">
        <f>Monitoring!C84</f>
        <v>0</v>
      </c>
      <c r="GU84" s="432">
        <f>Reference!$C84</f>
        <v>0</v>
      </c>
      <c r="GV84" s="429">
        <f>Reference!$D84</f>
        <v>0</v>
      </c>
      <c r="GW84" s="440">
        <f t="shared" si="23"/>
        <v>0</v>
      </c>
      <c r="GX84" s="440">
        <f t="shared" si="23"/>
        <v>0</v>
      </c>
      <c r="GY84" s="440">
        <f t="shared" si="23"/>
        <v>0</v>
      </c>
      <c r="GZ84" s="440">
        <f t="shared" si="23"/>
        <v>0</v>
      </c>
      <c r="HA84" s="440"/>
      <c r="HB84" s="440"/>
      <c r="HC84" s="440"/>
      <c r="HD84" s="440"/>
      <c r="HE84" s="429">
        <f t="shared" si="13"/>
        <v>60</v>
      </c>
      <c r="HF84" s="429">
        <f>SUM(GW84*Baseline!$P$24,GX84*Baseline!$P$25,GY84*Baseline!$P$26,GZ84*Baseline!$P$27,HA84*Baseline!$P$28,HB84*Baseline!$P$29,HC84*Baseline!$P$30,HD84*Baseline!$P$31,Baseline!$P$23)</f>
        <v>626.18362874044828</v>
      </c>
      <c r="HG84" s="455" t="e">
        <f t="shared" si="14"/>
        <v>#DIV/0!</v>
      </c>
      <c r="HH84" s="429" t="e">
        <f>IF(HG84&lt;=Baseline!$J$13,1,0)</f>
        <v>#DIV/0!</v>
      </c>
      <c r="HI84" s="429">
        <f t="shared" si="15"/>
        <v>392105.93690255558</v>
      </c>
      <c r="HJ84" s="429">
        <f t="shared" si="16"/>
        <v>48910903.069173105</v>
      </c>
      <c r="HK84" s="429">
        <f t="shared" si="17"/>
        <v>58061606.033611111</v>
      </c>
      <c r="HL84" s="429" t="str">
        <f>IF(HM84=Reference!$I$12,(HF84-GV84),"")</f>
        <v/>
      </c>
      <c r="HM84" s="429" t="str">
        <f>Reference!I84</f>
        <v/>
      </c>
      <c r="HN84" s="429" t="str">
        <f t="shared" si="19"/>
        <v/>
      </c>
      <c r="HO84" s="453"/>
      <c r="HP84" s="453"/>
      <c r="HQ84" s="453"/>
      <c r="HR84" s="465"/>
      <c r="HS84" s="453"/>
      <c r="HT84" s="453"/>
    </row>
    <row r="85" spans="189:228" ht="17.25" customHeight="1" x14ac:dyDescent="0.35">
      <c r="GG85" s="432"/>
      <c r="GJ85" s="429" t="str">
        <f>IF(GK85=$GJ$15,$GJ$15,IF(GJ$24=HF$4,SUM(GK$25:GK85),SUM(GL$25:GL85)))</f>
        <v>N</v>
      </c>
      <c r="GK85" s="438" t="str">
        <f>IFERROR('!!'!G85-'!!'!D85,$GJ$15)</f>
        <v>N</v>
      </c>
      <c r="GL85" s="429" t="str">
        <f t="shared" si="12"/>
        <v>N</v>
      </c>
      <c r="GM85" s="438">
        <f>IFERROR(('!!'!$D85)*('!!'!W85/('!!'!$G85)),0)</f>
        <v>0</v>
      </c>
      <c r="GN85" s="438">
        <f>IFERROR(('!!'!$D85)*('!!'!X85/('!!'!$G85)),0)</f>
        <v>0</v>
      </c>
      <c r="GO85" s="438">
        <f>IFERROR(('!!'!$D85)*('!!'!Y85/('!!'!$G85)),0)</f>
        <v>0</v>
      </c>
      <c r="GP85" s="438">
        <f>IFERROR(('!!'!$D85)*('!!'!Z84/('!!'!$G85)),0)</f>
        <v>0</v>
      </c>
      <c r="GQ85" s="438">
        <f>IFERROR(('!!'!$D85)*('!!'!Q85/('!!'!$G85)),0)</f>
        <v>0</v>
      </c>
      <c r="GR85" s="429">
        <v>1</v>
      </c>
      <c r="GS85" s="429">
        <v>2</v>
      </c>
      <c r="GT85" s="432">
        <f>Monitoring!C85</f>
        <v>0</v>
      </c>
      <c r="GU85" s="432">
        <f>Reference!$C85</f>
        <v>0</v>
      </c>
      <c r="GV85" s="429">
        <f>Reference!$D85</f>
        <v>0</v>
      </c>
      <c r="GW85" s="440">
        <f t="shared" ref="GW85:GZ94" si="24">IFERROR(VLOOKUP($GU85,Daten.B,GW$22,FALSE)^GW$23,0)</f>
        <v>0</v>
      </c>
      <c r="GX85" s="440">
        <f t="shared" si="24"/>
        <v>0</v>
      </c>
      <c r="GY85" s="440">
        <f t="shared" si="24"/>
        <v>0</v>
      </c>
      <c r="GZ85" s="440">
        <f t="shared" si="24"/>
        <v>0</v>
      </c>
      <c r="HA85" s="440"/>
      <c r="HB85" s="440"/>
      <c r="HC85" s="440"/>
      <c r="HD85" s="440"/>
      <c r="HE85" s="429">
        <f t="shared" si="13"/>
        <v>61</v>
      </c>
      <c r="HF85" s="429">
        <f>SUM(GW85*Baseline!$P$24,GX85*Baseline!$P$25,GY85*Baseline!$P$26,GZ85*Baseline!$P$27,HA85*Baseline!$P$28,HB85*Baseline!$P$29,HC85*Baseline!$P$30,HD85*Baseline!$P$31,Baseline!$P$23)</f>
        <v>626.18362874044828</v>
      </c>
      <c r="HG85" s="455" t="e">
        <f t="shared" si="14"/>
        <v>#DIV/0!</v>
      </c>
      <c r="HH85" s="429" t="e">
        <f>IF(HG85&lt;=Baseline!$J$13,1,0)</f>
        <v>#DIV/0!</v>
      </c>
      <c r="HI85" s="429">
        <f t="shared" si="15"/>
        <v>392105.93690255558</v>
      </c>
      <c r="HJ85" s="429">
        <f t="shared" si="16"/>
        <v>48910903.069173105</v>
      </c>
      <c r="HK85" s="429">
        <f t="shared" si="17"/>
        <v>58061606.033611111</v>
      </c>
      <c r="HL85" s="429" t="str">
        <f>IF(HM85=Reference!$I$12,(HF85-GV85),"")</f>
        <v/>
      </c>
      <c r="HM85" s="429" t="str">
        <f>Reference!I85</f>
        <v/>
      </c>
      <c r="HN85" s="429" t="str">
        <f t="shared" si="19"/>
        <v/>
      </c>
      <c r="HO85" s="453"/>
      <c r="HP85" s="453"/>
      <c r="HQ85" s="453"/>
      <c r="HR85" s="465"/>
      <c r="HS85" s="453"/>
      <c r="HT85" s="453"/>
    </row>
    <row r="86" spans="189:228" ht="17.25" customHeight="1" x14ac:dyDescent="0.35">
      <c r="GG86" s="432"/>
      <c r="GJ86" s="429" t="str">
        <f>IF(GK86=$GJ$15,$GJ$15,IF(GJ$24=HF$4,SUM(GK$25:GK86),SUM(GL$25:GL86)))</f>
        <v>N</v>
      </c>
      <c r="GK86" s="438" t="str">
        <f>IFERROR('!!'!G86-'!!'!D86,$GJ$15)</f>
        <v>N</v>
      </c>
      <c r="GL86" s="429" t="str">
        <f t="shared" si="12"/>
        <v>N</v>
      </c>
      <c r="GM86" s="438">
        <f>IFERROR(('!!'!$D86)*('!!'!W86/('!!'!$G86)),0)</f>
        <v>0</v>
      </c>
      <c r="GN86" s="438">
        <f>IFERROR(('!!'!$D86)*('!!'!X86/('!!'!$G86)),0)</f>
        <v>0</v>
      </c>
      <c r="GO86" s="438">
        <f>IFERROR(('!!'!$D86)*('!!'!Y86/('!!'!$G86)),0)</f>
        <v>0</v>
      </c>
      <c r="GP86" s="438">
        <f>IFERROR(('!!'!$D86)*('!!'!Z85/('!!'!$G86)),0)</f>
        <v>0</v>
      </c>
      <c r="GQ86" s="438">
        <f>IFERROR(('!!'!$D86)*('!!'!Q86/('!!'!$G86)),0)</f>
        <v>0</v>
      </c>
      <c r="GR86" s="429">
        <v>1</v>
      </c>
      <c r="GS86" s="429">
        <v>2</v>
      </c>
      <c r="GT86" s="432">
        <f>Monitoring!C86</f>
        <v>0</v>
      </c>
      <c r="GU86" s="432">
        <f>Reference!$C86</f>
        <v>0</v>
      </c>
      <c r="GV86" s="429">
        <f>Reference!$D86</f>
        <v>0</v>
      </c>
      <c r="GW86" s="440">
        <f t="shared" si="24"/>
        <v>0</v>
      </c>
      <c r="GX86" s="440">
        <f t="shared" si="24"/>
        <v>0</v>
      </c>
      <c r="GY86" s="440">
        <f t="shared" si="24"/>
        <v>0</v>
      </c>
      <c r="GZ86" s="440">
        <f t="shared" si="24"/>
        <v>0</v>
      </c>
      <c r="HA86" s="440"/>
      <c r="HB86" s="440"/>
      <c r="HC86" s="440"/>
      <c r="HD86" s="440"/>
      <c r="HE86" s="429">
        <f t="shared" si="13"/>
        <v>62</v>
      </c>
      <c r="HF86" s="429">
        <f>SUM(GW86*Baseline!$P$24,GX86*Baseline!$P$25,GY86*Baseline!$P$26,GZ86*Baseline!$P$27,HA86*Baseline!$P$28,HB86*Baseline!$P$29,HC86*Baseline!$P$30,HD86*Baseline!$P$31,Baseline!$P$23)</f>
        <v>626.18362874044828</v>
      </c>
      <c r="HG86" s="455" t="e">
        <f t="shared" si="14"/>
        <v>#DIV/0!</v>
      </c>
      <c r="HH86" s="429" t="e">
        <f>IF(HG86&lt;=Baseline!$J$13,1,0)</f>
        <v>#DIV/0!</v>
      </c>
      <c r="HI86" s="429">
        <f t="shared" si="15"/>
        <v>392105.93690255558</v>
      </c>
      <c r="HJ86" s="429">
        <f t="shared" si="16"/>
        <v>48910903.069173105</v>
      </c>
      <c r="HK86" s="429">
        <f t="shared" si="17"/>
        <v>58061606.033611111</v>
      </c>
      <c r="HL86" s="429" t="str">
        <f>IF(HM86=Reference!$I$12,(HF86-GV86),"")</f>
        <v/>
      </c>
      <c r="HM86" s="429" t="str">
        <f>Reference!I86</f>
        <v/>
      </c>
      <c r="HN86" s="429" t="str">
        <f t="shared" si="19"/>
        <v/>
      </c>
      <c r="HO86" s="453"/>
      <c r="HP86" s="453"/>
      <c r="HQ86" s="453"/>
      <c r="HR86" s="465"/>
      <c r="HS86" s="453"/>
      <c r="HT86" s="453"/>
    </row>
    <row r="87" spans="189:228" ht="17.25" customHeight="1" x14ac:dyDescent="0.35">
      <c r="GG87" s="432"/>
      <c r="GJ87" s="429" t="str">
        <f>IF(GK87=$GJ$15,$GJ$15,IF(GJ$24=HF$4,SUM(GK$25:GK87),SUM(GL$25:GL87)))</f>
        <v>N</v>
      </c>
      <c r="GK87" s="438" t="str">
        <f>IFERROR('!!'!G87-'!!'!D87,$GJ$15)</f>
        <v>N</v>
      </c>
      <c r="GL87" s="429" t="str">
        <f t="shared" si="12"/>
        <v>N</v>
      </c>
      <c r="GM87" s="438">
        <f>IFERROR(('!!'!$D87)*('!!'!W87/('!!'!$G87)),0)</f>
        <v>0</v>
      </c>
      <c r="GN87" s="438">
        <f>IFERROR(('!!'!$D87)*('!!'!X87/('!!'!$G87)),0)</f>
        <v>0</v>
      </c>
      <c r="GO87" s="438">
        <f>IFERROR(('!!'!$D87)*('!!'!Y87/('!!'!$G87)),0)</f>
        <v>0</v>
      </c>
      <c r="GP87" s="438">
        <f>IFERROR(('!!'!$D87)*('!!'!Z86/('!!'!$G87)),0)</f>
        <v>0</v>
      </c>
      <c r="GQ87" s="438">
        <f>IFERROR(('!!'!$D87)*('!!'!Q87/('!!'!$G87)),0)</f>
        <v>0</v>
      </c>
      <c r="GR87" s="429">
        <v>1</v>
      </c>
      <c r="GS87" s="429">
        <v>2</v>
      </c>
      <c r="GT87" s="432">
        <f>Monitoring!C87</f>
        <v>0</v>
      </c>
      <c r="GU87" s="432">
        <f>Reference!$C87</f>
        <v>0</v>
      </c>
      <c r="GV87" s="429">
        <f>Reference!$D87</f>
        <v>0</v>
      </c>
      <c r="GW87" s="440">
        <f t="shared" si="24"/>
        <v>0</v>
      </c>
      <c r="GX87" s="440">
        <f t="shared" si="24"/>
        <v>0</v>
      </c>
      <c r="GY87" s="440">
        <f t="shared" si="24"/>
        <v>0</v>
      </c>
      <c r="GZ87" s="440">
        <f t="shared" si="24"/>
        <v>0</v>
      </c>
      <c r="HA87" s="440"/>
      <c r="HB87" s="440"/>
      <c r="HC87" s="440"/>
      <c r="HD87" s="440"/>
      <c r="HE87" s="429">
        <f t="shared" si="13"/>
        <v>63</v>
      </c>
      <c r="HF87" s="429">
        <f>SUM(GW87*Baseline!$P$24,GX87*Baseline!$P$25,GY87*Baseline!$P$26,GZ87*Baseline!$P$27,HA87*Baseline!$P$28,HB87*Baseline!$P$29,HC87*Baseline!$P$30,HD87*Baseline!$P$31,Baseline!$P$23)</f>
        <v>626.18362874044828</v>
      </c>
      <c r="HG87" s="455" t="e">
        <f t="shared" si="14"/>
        <v>#DIV/0!</v>
      </c>
      <c r="HH87" s="429" t="e">
        <f>IF(HG87&lt;=Baseline!$J$13,1,0)</f>
        <v>#DIV/0!</v>
      </c>
      <c r="HI87" s="429">
        <f t="shared" si="15"/>
        <v>392105.93690255558</v>
      </c>
      <c r="HJ87" s="429">
        <f t="shared" si="16"/>
        <v>48910903.069173105</v>
      </c>
      <c r="HK87" s="429">
        <f t="shared" si="17"/>
        <v>58061606.033611111</v>
      </c>
      <c r="HL87" s="429" t="str">
        <f>IF(HM87=Reference!$I$12,(HF87-GV87),"")</f>
        <v/>
      </c>
      <c r="HM87" s="429" t="str">
        <f>Reference!I87</f>
        <v/>
      </c>
      <c r="HN87" s="429" t="str">
        <f t="shared" si="19"/>
        <v/>
      </c>
      <c r="HO87" s="453"/>
      <c r="HP87" s="453"/>
      <c r="HQ87" s="453"/>
      <c r="HR87" s="465"/>
      <c r="HS87" s="453"/>
      <c r="HT87" s="453"/>
    </row>
    <row r="88" spans="189:228" ht="17.25" customHeight="1" x14ac:dyDescent="0.35">
      <c r="GG88" s="432"/>
      <c r="GJ88" s="429" t="str">
        <f>IF(GK88=$GJ$15,$GJ$15,IF(GJ$24=HF$4,SUM(GK$25:GK88),SUM(GL$25:GL88)))</f>
        <v>N</v>
      </c>
      <c r="GK88" s="438" t="str">
        <f>IFERROR('!!'!G88-'!!'!D88,$GJ$15)</f>
        <v>N</v>
      </c>
      <c r="GL88" s="429" t="str">
        <f t="shared" si="12"/>
        <v>N</v>
      </c>
      <c r="GM88" s="438">
        <f>IFERROR(('!!'!$D88)*('!!'!W88/('!!'!$G88)),0)</f>
        <v>0</v>
      </c>
      <c r="GN88" s="438">
        <f>IFERROR(('!!'!$D88)*('!!'!X88/('!!'!$G88)),0)</f>
        <v>0</v>
      </c>
      <c r="GO88" s="438">
        <f>IFERROR(('!!'!$D88)*('!!'!Y88/('!!'!$G88)),0)</f>
        <v>0</v>
      </c>
      <c r="GP88" s="438">
        <f>IFERROR(('!!'!$D88)*('!!'!Z87/('!!'!$G88)),0)</f>
        <v>0</v>
      </c>
      <c r="GQ88" s="438">
        <f>IFERROR(('!!'!$D88)*('!!'!Q88/('!!'!$G88)),0)</f>
        <v>0</v>
      </c>
      <c r="GR88" s="429">
        <v>1</v>
      </c>
      <c r="GS88" s="429">
        <v>2</v>
      </c>
      <c r="GT88" s="432">
        <f>Monitoring!C88</f>
        <v>0</v>
      </c>
      <c r="GU88" s="432">
        <f>Reference!$C88</f>
        <v>0</v>
      </c>
      <c r="GV88" s="429">
        <f>Reference!$D88</f>
        <v>0</v>
      </c>
      <c r="GW88" s="440">
        <f t="shared" si="24"/>
        <v>0</v>
      </c>
      <c r="GX88" s="440">
        <f t="shared" si="24"/>
        <v>0</v>
      </c>
      <c r="GY88" s="440">
        <f t="shared" si="24"/>
        <v>0</v>
      </c>
      <c r="GZ88" s="440">
        <f t="shared" si="24"/>
        <v>0</v>
      </c>
      <c r="HA88" s="440"/>
      <c r="HB88" s="440"/>
      <c r="HC88" s="440"/>
      <c r="HD88" s="440"/>
      <c r="HE88" s="429">
        <f t="shared" si="13"/>
        <v>64</v>
      </c>
      <c r="HF88" s="429">
        <f>SUM(GW88*Baseline!$P$24,GX88*Baseline!$P$25,GY88*Baseline!$P$26,GZ88*Baseline!$P$27,HA88*Baseline!$P$28,HB88*Baseline!$P$29,HC88*Baseline!$P$30,HD88*Baseline!$P$31,Baseline!$P$23)</f>
        <v>626.18362874044828</v>
      </c>
      <c r="HG88" s="455" t="e">
        <f t="shared" si="14"/>
        <v>#DIV/0!</v>
      </c>
      <c r="HH88" s="429" t="e">
        <f>IF(HG88&lt;=Baseline!$J$13,1,0)</f>
        <v>#DIV/0!</v>
      </c>
      <c r="HI88" s="429">
        <f t="shared" si="15"/>
        <v>392105.93690255558</v>
      </c>
      <c r="HJ88" s="429">
        <f t="shared" si="16"/>
        <v>48910903.069173105</v>
      </c>
      <c r="HK88" s="429">
        <f t="shared" si="17"/>
        <v>58061606.033611111</v>
      </c>
      <c r="HL88" s="429" t="str">
        <f>IF(HM88=Reference!$I$12,(HF88-GV88),"")</f>
        <v/>
      </c>
      <c r="HM88" s="429" t="str">
        <f>Reference!I88</f>
        <v/>
      </c>
      <c r="HN88" s="429" t="str">
        <f t="shared" si="19"/>
        <v/>
      </c>
      <c r="HO88" s="453"/>
      <c r="HP88" s="453"/>
      <c r="HQ88" s="453"/>
      <c r="HR88" s="465"/>
      <c r="HS88" s="453"/>
      <c r="HT88" s="453"/>
    </row>
    <row r="89" spans="189:228" ht="17.25" customHeight="1" x14ac:dyDescent="0.35">
      <c r="GG89" s="432"/>
      <c r="GJ89" s="429" t="str">
        <f>IF(GK89=$GJ$15,$GJ$15,IF(GJ$24=HF$4,SUM(GK$25:GK89),SUM(GL$25:GL89)))</f>
        <v>N</v>
      </c>
      <c r="GK89" s="438" t="str">
        <f>IFERROR('!!'!G89-'!!'!D89,$GJ$15)</f>
        <v>N</v>
      </c>
      <c r="GL89" s="429" t="str">
        <f t="shared" si="12"/>
        <v>N</v>
      </c>
      <c r="GM89" s="438">
        <f>IFERROR(('!!'!$D89)*('!!'!W89/('!!'!$G89)),0)</f>
        <v>0</v>
      </c>
      <c r="GN89" s="438">
        <f>IFERROR(('!!'!$D89)*('!!'!X89/('!!'!$G89)),0)</f>
        <v>0</v>
      </c>
      <c r="GO89" s="438">
        <f>IFERROR(('!!'!$D89)*('!!'!Y89/('!!'!$G89)),0)</f>
        <v>0</v>
      </c>
      <c r="GP89" s="438">
        <f>IFERROR(('!!'!$D89)*('!!'!Z88/('!!'!$G89)),0)</f>
        <v>0</v>
      </c>
      <c r="GQ89" s="438">
        <f>IFERROR(('!!'!$D89)*('!!'!Q89/('!!'!$G89)),0)</f>
        <v>0</v>
      </c>
      <c r="GR89" s="429">
        <v>1</v>
      </c>
      <c r="GS89" s="429">
        <v>2</v>
      </c>
      <c r="GT89" s="432">
        <f>Monitoring!C89</f>
        <v>0</v>
      </c>
      <c r="GU89" s="432">
        <f>Reference!$C89</f>
        <v>0</v>
      </c>
      <c r="GV89" s="429">
        <f>Reference!$D89</f>
        <v>0</v>
      </c>
      <c r="GW89" s="440">
        <f t="shared" si="24"/>
        <v>0</v>
      </c>
      <c r="GX89" s="440">
        <f t="shared" si="24"/>
        <v>0</v>
      </c>
      <c r="GY89" s="440">
        <f t="shared" si="24"/>
        <v>0</v>
      </c>
      <c r="GZ89" s="440">
        <f t="shared" si="24"/>
        <v>0</v>
      </c>
      <c r="HA89" s="440"/>
      <c r="HB89" s="440"/>
      <c r="HC89" s="440"/>
      <c r="HD89" s="440"/>
      <c r="HE89" s="429">
        <f t="shared" si="13"/>
        <v>65</v>
      </c>
      <c r="HF89" s="429">
        <f>SUM(GW89*Baseline!$P$24,GX89*Baseline!$P$25,GY89*Baseline!$P$26,GZ89*Baseline!$P$27,HA89*Baseline!$P$28,HB89*Baseline!$P$29,HC89*Baseline!$P$30,HD89*Baseline!$P$31,Baseline!$P$23)</f>
        <v>626.18362874044828</v>
      </c>
      <c r="HG89" s="455" t="e">
        <f t="shared" si="14"/>
        <v>#DIV/0!</v>
      </c>
      <c r="HH89" s="429" t="e">
        <f>IF(HG89&lt;=Baseline!$J$13,1,0)</f>
        <v>#DIV/0!</v>
      </c>
      <c r="HI89" s="429">
        <f t="shared" si="15"/>
        <v>392105.93690255558</v>
      </c>
      <c r="HJ89" s="429">
        <f t="shared" ref="HJ89:HJ152" si="25">(HF89-$HG$17)^2</f>
        <v>48910903.069173105</v>
      </c>
      <c r="HK89" s="429">
        <f t="shared" ref="HK89:HK152" si="26">(GV89-$HG$17)^2</f>
        <v>58061606.033611111</v>
      </c>
      <c r="HL89" s="429" t="str">
        <f>IF(HM89=Reference!$I$12,(HF89-GV89),"")</f>
        <v/>
      </c>
      <c r="HM89" s="429" t="str">
        <f>Reference!I89</f>
        <v/>
      </c>
      <c r="HN89" s="429" t="str">
        <f t="shared" si="19"/>
        <v/>
      </c>
      <c r="HO89" s="453"/>
      <c r="HP89" s="453"/>
      <c r="HQ89" s="453"/>
      <c r="HR89" s="465"/>
      <c r="HS89" s="453"/>
      <c r="HT89" s="453"/>
    </row>
    <row r="90" spans="189:228" ht="17.25" customHeight="1" x14ac:dyDescent="0.35">
      <c r="GG90" s="432"/>
      <c r="GJ90" s="429" t="str">
        <f>IF(GK90=$GJ$15,$GJ$15,IF(GJ$24=HF$4,SUM(GK$25:GK90),SUM(GL$25:GL90)))</f>
        <v>N</v>
      </c>
      <c r="GK90" s="438" t="str">
        <f>IFERROR('!!'!G90-'!!'!D90,$GJ$15)</f>
        <v>N</v>
      </c>
      <c r="GL90" s="429" t="str">
        <f t="shared" ref="GL90:GL153" si="27">IFERROR(GK90^2^(1/2),"N")</f>
        <v>N</v>
      </c>
      <c r="GM90" s="438">
        <f>IFERROR(('!!'!$D90)*('!!'!W90/('!!'!$G90)),0)</f>
        <v>0</v>
      </c>
      <c r="GN90" s="438">
        <f>IFERROR(('!!'!$D90)*('!!'!X90/('!!'!$G90)),0)</f>
        <v>0</v>
      </c>
      <c r="GO90" s="438">
        <f>IFERROR(('!!'!$D90)*('!!'!Y90/('!!'!$G90)),0)</f>
        <v>0</v>
      </c>
      <c r="GP90" s="438">
        <f>IFERROR(('!!'!$D90)*('!!'!Z89/('!!'!$G90)),0)</f>
        <v>0</v>
      </c>
      <c r="GQ90" s="438">
        <f>IFERROR(('!!'!$D90)*('!!'!Q90/('!!'!$G90)),0)</f>
        <v>0</v>
      </c>
      <c r="GR90" s="429">
        <v>1</v>
      </c>
      <c r="GS90" s="429">
        <v>2</v>
      </c>
      <c r="GT90" s="432">
        <f>Monitoring!C90</f>
        <v>0</v>
      </c>
      <c r="GU90" s="432">
        <f>Reference!$C90</f>
        <v>0</v>
      </c>
      <c r="GV90" s="429">
        <f>Reference!$D90</f>
        <v>0</v>
      </c>
      <c r="GW90" s="440">
        <f t="shared" si="24"/>
        <v>0</v>
      </c>
      <c r="GX90" s="440">
        <f t="shared" si="24"/>
        <v>0</v>
      </c>
      <c r="GY90" s="440">
        <f t="shared" si="24"/>
        <v>0</v>
      </c>
      <c r="GZ90" s="440">
        <f t="shared" si="24"/>
        <v>0</v>
      </c>
      <c r="HA90" s="440"/>
      <c r="HB90" s="440"/>
      <c r="HC90" s="440"/>
      <c r="HD90" s="440"/>
      <c r="HE90" s="429">
        <f t="shared" ref="HE90:HE153" si="28">ROW(HE90)-$HE$24</f>
        <v>66</v>
      </c>
      <c r="HF90" s="429">
        <f>SUM(GW90*Baseline!$P$24,GX90*Baseline!$P$25,GY90*Baseline!$P$26,GZ90*Baseline!$P$27,HA90*Baseline!$P$28,HB90*Baseline!$P$29,HC90*Baseline!$P$30,HD90*Baseline!$P$31,Baseline!$P$23)</f>
        <v>626.18362874044828</v>
      </c>
      <c r="HG90" s="455" t="e">
        <f t="shared" ref="HG90:HG153" si="29">IF(HF90=0,#N/A,ABS((GV90-HF90)/GV90))</f>
        <v>#DIV/0!</v>
      </c>
      <c r="HH90" s="429" t="e">
        <f>IF(HG90&lt;=Baseline!$J$13,1,0)</f>
        <v>#DIV/0!</v>
      </c>
      <c r="HI90" s="429">
        <f t="shared" ref="HI90:HI153" si="30">(GV90-HF90)^2</f>
        <v>392105.93690255558</v>
      </c>
      <c r="HJ90" s="429">
        <f t="shared" si="25"/>
        <v>48910903.069173105</v>
      </c>
      <c r="HK90" s="429">
        <f t="shared" si="26"/>
        <v>58061606.033611111</v>
      </c>
      <c r="HL90" s="429" t="str">
        <f>IF(HM90=Reference!$I$12,(HF90-GV90),"")</f>
        <v/>
      </c>
      <c r="HM90" s="429" t="str">
        <f>Reference!I90</f>
        <v/>
      </c>
      <c r="HN90" s="429" t="str">
        <f t="shared" ref="HN90:HN153" si="31">IFERROR(HL90-0.00001*$HQ$20,"")</f>
        <v/>
      </c>
      <c r="HO90" s="453"/>
      <c r="HP90" s="453"/>
      <c r="HQ90" s="453"/>
      <c r="HR90" s="465"/>
      <c r="HS90" s="453"/>
      <c r="HT90" s="453"/>
    </row>
    <row r="91" spans="189:228" ht="17.25" customHeight="1" x14ac:dyDescent="0.35">
      <c r="GG91" s="432"/>
      <c r="GJ91" s="429" t="str">
        <f>IF(GK91=$GJ$15,$GJ$15,IF(GJ$24=HF$4,SUM(GK$25:GK91),SUM(GL$25:GL91)))</f>
        <v>N</v>
      </c>
      <c r="GK91" s="438" t="str">
        <f>IFERROR('!!'!G91-'!!'!D91,$GJ$15)</f>
        <v>N</v>
      </c>
      <c r="GL91" s="429" t="str">
        <f t="shared" si="27"/>
        <v>N</v>
      </c>
      <c r="GM91" s="438">
        <f>IFERROR(('!!'!$D91)*('!!'!W91/('!!'!$G91)),0)</f>
        <v>0</v>
      </c>
      <c r="GN91" s="438">
        <f>IFERROR(('!!'!$D91)*('!!'!X91/('!!'!$G91)),0)</f>
        <v>0</v>
      </c>
      <c r="GO91" s="438">
        <f>IFERROR(('!!'!$D91)*('!!'!Y91/('!!'!$G91)),0)</f>
        <v>0</v>
      </c>
      <c r="GP91" s="438">
        <f>IFERROR(('!!'!$D91)*('!!'!Z90/('!!'!$G91)),0)</f>
        <v>0</v>
      </c>
      <c r="GQ91" s="438">
        <f>IFERROR(('!!'!$D91)*('!!'!Q91/('!!'!$G91)),0)</f>
        <v>0</v>
      </c>
      <c r="GR91" s="429">
        <v>1</v>
      </c>
      <c r="GS91" s="429">
        <v>2</v>
      </c>
      <c r="GT91" s="432">
        <f>Monitoring!C91</f>
        <v>0</v>
      </c>
      <c r="GU91" s="432">
        <f>Reference!$C91</f>
        <v>0</v>
      </c>
      <c r="GV91" s="429">
        <f>Reference!$D91</f>
        <v>0</v>
      </c>
      <c r="GW91" s="440">
        <f t="shared" si="24"/>
        <v>0</v>
      </c>
      <c r="GX91" s="440">
        <f t="shared" si="24"/>
        <v>0</v>
      </c>
      <c r="GY91" s="440">
        <f t="shared" si="24"/>
        <v>0</v>
      </c>
      <c r="GZ91" s="440">
        <f t="shared" si="24"/>
        <v>0</v>
      </c>
      <c r="HA91" s="440"/>
      <c r="HB91" s="440"/>
      <c r="HC91" s="440"/>
      <c r="HD91" s="440"/>
      <c r="HE91" s="429">
        <f t="shared" si="28"/>
        <v>67</v>
      </c>
      <c r="HF91" s="429">
        <f>SUM(GW91*Baseline!$P$24,GX91*Baseline!$P$25,GY91*Baseline!$P$26,GZ91*Baseline!$P$27,HA91*Baseline!$P$28,HB91*Baseline!$P$29,HC91*Baseline!$P$30,HD91*Baseline!$P$31,Baseline!$P$23)</f>
        <v>626.18362874044828</v>
      </c>
      <c r="HG91" s="455" t="e">
        <f t="shared" si="29"/>
        <v>#DIV/0!</v>
      </c>
      <c r="HH91" s="429" t="e">
        <f>IF(HG91&lt;=Baseline!$J$13,1,0)</f>
        <v>#DIV/0!</v>
      </c>
      <c r="HI91" s="429">
        <f t="shared" si="30"/>
        <v>392105.93690255558</v>
      </c>
      <c r="HJ91" s="429">
        <f t="shared" si="25"/>
        <v>48910903.069173105</v>
      </c>
      <c r="HK91" s="429">
        <f t="shared" si="26"/>
        <v>58061606.033611111</v>
      </c>
      <c r="HL91" s="429" t="str">
        <f>IF(HM91=Reference!$I$12,(HF91-GV91),"")</f>
        <v/>
      </c>
      <c r="HM91" s="429" t="str">
        <f>Reference!I91</f>
        <v/>
      </c>
      <c r="HN91" s="429" t="str">
        <f t="shared" si="31"/>
        <v/>
      </c>
      <c r="HO91" s="453"/>
      <c r="HP91" s="453"/>
      <c r="HQ91" s="453"/>
      <c r="HR91" s="465"/>
      <c r="HS91" s="453"/>
      <c r="HT91" s="453"/>
    </row>
    <row r="92" spans="189:228" ht="17.25" customHeight="1" x14ac:dyDescent="0.35">
      <c r="GG92" s="432"/>
      <c r="GJ92" s="429" t="str">
        <f>IF(GK92=$GJ$15,$GJ$15,IF(GJ$24=HF$4,SUM(GK$25:GK92),SUM(GL$25:GL92)))</f>
        <v>N</v>
      </c>
      <c r="GK92" s="438" t="str">
        <f>IFERROR('!!'!G92-'!!'!D92,$GJ$15)</f>
        <v>N</v>
      </c>
      <c r="GL92" s="429" t="str">
        <f t="shared" si="27"/>
        <v>N</v>
      </c>
      <c r="GM92" s="438">
        <f>IFERROR(('!!'!$D92)*('!!'!W92/('!!'!$G92)),0)</f>
        <v>0</v>
      </c>
      <c r="GN92" s="438">
        <f>IFERROR(('!!'!$D92)*('!!'!X92/('!!'!$G92)),0)</f>
        <v>0</v>
      </c>
      <c r="GO92" s="438">
        <f>IFERROR(('!!'!$D92)*('!!'!Y92/('!!'!$G92)),0)</f>
        <v>0</v>
      </c>
      <c r="GP92" s="438">
        <f>IFERROR(('!!'!$D92)*('!!'!Z91/('!!'!$G92)),0)</f>
        <v>0</v>
      </c>
      <c r="GQ92" s="438">
        <f>IFERROR(('!!'!$D92)*('!!'!Q92/('!!'!$G92)),0)</f>
        <v>0</v>
      </c>
      <c r="GR92" s="429">
        <v>1</v>
      </c>
      <c r="GS92" s="429">
        <v>2</v>
      </c>
      <c r="GT92" s="432">
        <f>Monitoring!C92</f>
        <v>0</v>
      </c>
      <c r="GU92" s="432">
        <f>Reference!$C92</f>
        <v>0</v>
      </c>
      <c r="GV92" s="429">
        <f>Reference!$D92</f>
        <v>0</v>
      </c>
      <c r="GW92" s="440">
        <f t="shared" si="24"/>
        <v>0</v>
      </c>
      <c r="GX92" s="440">
        <f t="shared" si="24"/>
        <v>0</v>
      </c>
      <c r="GY92" s="440">
        <f t="shared" si="24"/>
        <v>0</v>
      </c>
      <c r="GZ92" s="440">
        <f t="shared" si="24"/>
        <v>0</v>
      </c>
      <c r="HA92" s="440"/>
      <c r="HB92" s="440"/>
      <c r="HC92" s="440"/>
      <c r="HD92" s="440"/>
      <c r="HE92" s="429">
        <f t="shared" si="28"/>
        <v>68</v>
      </c>
      <c r="HF92" s="429">
        <f>SUM(GW92*Baseline!$P$24,GX92*Baseline!$P$25,GY92*Baseline!$P$26,GZ92*Baseline!$P$27,HA92*Baseline!$P$28,HB92*Baseline!$P$29,HC92*Baseline!$P$30,HD92*Baseline!$P$31,Baseline!$P$23)</f>
        <v>626.18362874044828</v>
      </c>
      <c r="HG92" s="455" t="e">
        <f t="shared" si="29"/>
        <v>#DIV/0!</v>
      </c>
      <c r="HH92" s="429" t="e">
        <f>IF(HG92&lt;=Baseline!$J$13,1,0)</f>
        <v>#DIV/0!</v>
      </c>
      <c r="HI92" s="429">
        <f t="shared" si="30"/>
        <v>392105.93690255558</v>
      </c>
      <c r="HJ92" s="429">
        <f t="shared" si="25"/>
        <v>48910903.069173105</v>
      </c>
      <c r="HK92" s="429">
        <f t="shared" si="26"/>
        <v>58061606.033611111</v>
      </c>
      <c r="HL92" s="429" t="str">
        <f>IF(HM92=Reference!$I$12,(HF92-GV92),"")</f>
        <v/>
      </c>
      <c r="HM92" s="429" t="str">
        <f>Reference!I92</f>
        <v/>
      </c>
      <c r="HN92" s="429" t="str">
        <f t="shared" si="31"/>
        <v/>
      </c>
      <c r="HO92" s="453"/>
      <c r="HP92" s="453"/>
      <c r="HQ92" s="453"/>
      <c r="HR92" s="465"/>
      <c r="HS92" s="453"/>
      <c r="HT92" s="453"/>
    </row>
    <row r="93" spans="189:228" ht="17.25" customHeight="1" x14ac:dyDescent="0.35">
      <c r="GG93" s="432"/>
      <c r="GJ93" s="429" t="str">
        <f>IF(GK93=$GJ$15,$GJ$15,IF(GJ$24=HF$4,SUM(GK$25:GK93),SUM(GL$25:GL93)))</f>
        <v>N</v>
      </c>
      <c r="GK93" s="438" t="str">
        <f>IFERROR('!!'!G93-'!!'!D93,$GJ$15)</f>
        <v>N</v>
      </c>
      <c r="GL93" s="429" t="str">
        <f t="shared" si="27"/>
        <v>N</v>
      </c>
      <c r="GM93" s="438">
        <f>IFERROR(('!!'!$D93)*('!!'!W93/('!!'!$G93)),0)</f>
        <v>0</v>
      </c>
      <c r="GN93" s="438">
        <f>IFERROR(('!!'!$D93)*('!!'!X93/('!!'!$G93)),0)</f>
        <v>0</v>
      </c>
      <c r="GO93" s="438">
        <f>IFERROR(('!!'!$D93)*('!!'!Y93/('!!'!$G93)),0)</f>
        <v>0</v>
      </c>
      <c r="GP93" s="438">
        <f>IFERROR(('!!'!$D93)*('!!'!Z92/('!!'!$G93)),0)</f>
        <v>0</v>
      </c>
      <c r="GQ93" s="438">
        <f>IFERROR(('!!'!$D93)*('!!'!Q93/('!!'!$G93)),0)</f>
        <v>0</v>
      </c>
      <c r="GR93" s="429">
        <v>1</v>
      </c>
      <c r="GS93" s="429">
        <v>2</v>
      </c>
      <c r="GT93" s="432">
        <f>Monitoring!C93</f>
        <v>0</v>
      </c>
      <c r="GU93" s="432">
        <f>Reference!$C93</f>
        <v>0</v>
      </c>
      <c r="GV93" s="429">
        <f>Reference!$D93</f>
        <v>0</v>
      </c>
      <c r="GW93" s="440">
        <f t="shared" si="24"/>
        <v>0</v>
      </c>
      <c r="GX93" s="440">
        <f t="shared" si="24"/>
        <v>0</v>
      </c>
      <c r="GY93" s="440">
        <f t="shared" si="24"/>
        <v>0</v>
      </c>
      <c r="GZ93" s="440">
        <f t="shared" si="24"/>
        <v>0</v>
      </c>
      <c r="HA93" s="440"/>
      <c r="HB93" s="440"/>
      <c r="HC93" s="440"/>
      <c r="HD93" s="440"/>
      <c r="HE93" s="429">
        <f t="shared" si="28"/>
        <v>69</v>
      </c>
      <c r="HF93" s="429">
        <f>SUM(GW93*Baseline!$P$24,GX93*Baseline!$P$25,GY93*Baseline!$P$26,GZ93*Baseline!$P$27,HA93*Baseline!$P$28,HB93*Baseline!$P$29,HC93*Baseline!$P$30,HD93*Baseline!$P$31,Baseline!$P$23)</f>
        <v>626.18362874044828</v>
      </c>
      <c r="HG93" s="455" t="e">
        <f t="shared" si="29"/>
        <v>#DIV/0!</v>
      </c>
      <c r="HH93" s="429" t="e">
        <f>IF(HG93&lt;=Baseline!$J$13,1,0)</f>
        <v>#DIV/0!</v>
      </c>
      <c r="HI93" s="429">
        <f t="shared" si="30"/>
        <v>392105.93690255558</v>
      </c>
      <c r="HJ93" s="429">
        <f t="shared" si="25"/>
        <v>48910903.069173105</v>
      </c>
      <c r="HK93" s="429">
        <f t="shared" si="26"/>
        <v>58061606.033611111</v>
      </c>
      <c r="HL93" s="429" t="str">
        <f>IF(HM93=Reference!$I$12,(HF93-GV93),"")</f>
        <v/>
      </c>
      <c r="HM93" s="429" t="str">
        <f>Reference!I93</f>
        <v/>
      </c>
      <c r="HN93" s="429" t="str">
        <f t="shared" si="31"/>
        <v/>
      </c>
      <c r="HO93" s="453"/>
      <c r="HP93" s="453"/>
      <c r="HQ93" s="453"/>
      <c r="HR93" s="465"/>
      <c r="HS93" s="453"/>
      <c r="HT93" s="453"/>
    </row>
    <row r="94" spans="189:228" ht="17.25" customHeight="1" x14ac:dyDescent="0.35">
      <c r="GG94" s="432"/>
      <c r="GJ94" s="429" t="str">
        <f>IF(GK94=$GJ$15,$GJ$15,IF(GJ$24=HF$4,SUM(GK$25:GK94),SUM(GL$25:GL94)))</f>
        <v>N</v>
      </c>
      <c r="GK94" s="438" t="str">
        <f>IFERROR('!!'!G94-'!!'!D94,$GJ$15)</f>
        <v>N</v>
      </c>
      <c r="GL94" s="429" t="str">
        <f t="shared" si="27"/>
        <v>N</v>
      </c>
      <c r="GM94" s="438">
        <f>IFERROR(('!!'!$D94)*('!!'!W94/('!!'!$G94)),0)</f>
        <v>0</v>
      </c>
      <c r="GN94" s="438">
        <f>IFERROR(('!!'!$D94)*('!!'!X94/('!!'!$G94)),0)</f>
        <v>0</v>
      </c>
      <c r="GO94" s="438">
        <f>IFERROR(('!!'!$D94)*('!!'!Y94/('!!'!$G94)),0)</f>
        <v>0</v>
      </c>
      <c r="GP94" s="438">
        <f>IFERROR(('!!'!$D94)*('!!'!Z93/('!!'!$G94)),0)</f>
        <v>0</v>
      </c>
      <c r="GQ94" s="438">
        <f>IFERROR(('!!'!$D94)*('!!'!Q94/('!!'!$G94)),0)</f>
        <v>0</v>
      </c>
      <c r="GR94" s="429">
        <v>1</v>
      </c>
      <c r="GS94" s="429">
        <v>2</v>
      </c>
      <c r="GT94" s="432">
        <f>Monitoring!C94</f>
        <v>0</v>
      </c>
      <c r="GU94" s="432">
        <f>Reference!$C94</f>
        <v>0</v>
      </c>
      <c r="GV94" s="429">
        <f>Reference!$D94</f>
        <v>0</v>
      </c>
      <c r="GW94" s="440">
        <f t="shared" si="24"/>
        <v>0</v>
      </c>
      <c r="GX94" s="440">
        <f t="shared" si="24"/>
        <v>0</v>
      </c>
      <c r="GY94" s="440">
        <f t="shared" si="24"/>
        <v>0</v>
      </c>
      <c r="GZ94" s="440">
        <f t="shared" si="24"/>
        <v>0</v>
      </c>
      <c r="HA94" s="440"/>
      <c r="HB94" s="440"/>
      <c r="HC94" s="440"/>
      <c r="HD94" s="440"/>
      <c r="HE94" s="429">
        <f t="shared" si="28"/>
        <v>70</v>
      </c>
      <c r="HF94" s="429">
        <f>SUM(GW94*Baseline!$P$24,GX94*Baseline!$P$25,GY94*Baseline!$P$26,GZ94*Baseline!$P$27,HA94*Baseline!$P$28,HB94*Baseline!$P$29,HC94*Baseline!$P$30,HD94*Baseline!$P$31,Baseline!$P$23)</f>
        <v>626.18362874044828</v>
      </c>
      <c r="HG94" s="455" t="e">
        <f t="shared" si="29"/>
        <v>#DIV/0!</v>
      </c>
      <c r="HH94" s="429" t="e">
        <f>IF(HG94&lt;=Baseline!$J$13,1,0)</f>
        <v>#DIV/0!</v>
      </c>
      <c r="HI94" s="429">
        <f t="shared" si="30"/>
        <v>392105.93690255558</v>
      </c>
      <c r="HJ94" s="429">
        <f t="shared" si="25"/>
        <v>48910903.069173105</v>
      </c>
      <c r="HK94" s="429">
        <f t="shared" si="26"/>
        <v>58061606.033611111</v>
      </c>
      <c r="HL94" s="429" t="str">
        <f>IF(HM94=Reference!$I$12,(HF94-GV94),"")</f>
        <v/>
      </c>
      <c r="HM94" s="429" t="str">
        <f>Reference!I94</f>
        <v/>
      </c>
      <c r="HN94" s="429" t="str">
        <f t="shared" si="31"/>
        <v/>
      </c>
      <c r="HO94" s="453"/>
      <c r="HP94" s="453"/>
      <c r="HQ94" s="453"/>
      <c r="HR94" s="465"/>
      <c r="HS94" s="453"/>
      <c r="HT94" s="453"/>
    </row>
    <row r="95" spans="189:228" ht="17.25" customHeight="1" x14ac:dyDescent="0.35">
      <c r="GG95" s="432"/>
      <c r="GJ95" s="429" t="str">
        <f>IF(GK95=$GJ$15,$GJ$15,IF(GJ$24=HF$4,SUM(GK$25:GK95),SUM(GL$25:GL95)))</f>
        <v>N</v>
      </c>
      <c r="GK95" s="438" t="str">
        <f>IFERROR('!!'!G95-'!!'!D95,$GJ$15)</f>
        <v>N</v>
      </c>
      <c r="GL95" s="429" t="str">
        <f t="shared" si="27"/>
        <v>N</v>
      </c>
      <c r="GM95" s="438">
        <f>IFERROR(('!!'!$D95)*('!!'!W95/('!!'!$G95)),0)</f>
        <v>0</v>
      </c>
      <c r="GN95" s="438">
        <f>IFERROR(('!!'!$D95)*('!!'!X95/('!!'!$G95)),0)</f>
        <v>0</v>
      </c>
      <c r="GO95" s="438">
        <f>IFERROR(('!!'!$D95)*('!!'!Y95/('!!'!$G95)),0)</f>
        <v>0</v>
      </c>
      <c r="GP95" s="438">
        <f>IFERROR(('!!'!$D95)*('!!'!Z94/('!!'!$G95)),0)</f>
        <v>0</v>
      </c>
      <c r="GQ95" s="438">
        <f>IFERROR(('!!'!$D95)*('!!'!Q95/('!!'!$G95)),0)</f>
        <v>0</v>
      </c>
      <c r="GR95" s="429">
        <v>1</v>
      </c>
      <c r="GS95" s="429">
        <v>2</v>
      </c>
      <c r="GT95" s="432">
        <f>Monitoring!C95</f>
        <v>0</v>
      </c>
      <c r="GU95" s="432">
        <f>Reference!$C95</f>
        <v>0</v>
      </c>
      <c r="GV95" s="429">
        <f>Reference!$D95</f>
        <v>0</v>
      </c>
      <c r="GW95" s="440">
        <f t="shared" ref="GW95:GZ104" si="32">IFERROR(VLOOKUP($GU95,Daten.B,GW$22,FALSE)^GW$23,0)</f>
        <v>0</v>
      </c>
      <c r="GX95" s="440">
        <f t="shared" si="32"/>
        <v>0</v>
      </c>
      <c r="GY95" s="440">
        <f t="shared" si="32"/>
        <v>0</v>
      </c>
      <c r="GZ95" s="440">
        <f t="shared" si="32"/>
        <v>0</v>
      </c>
      <c r="HA95" s="440"/>
      <c r="HB95" s="440"/>
      <c r="HC95" s="440"/>
      <c r="HD95" s="440"/>
      <c r="HE95" s="429">
        <f t="shared" si="28"/>
        <v>71</v>
      </c>
      <c r="HF95" s="429">
        <f>SUM(GW95*Baseline!$P$24,GX95*Baseline!$P$25,GY95*Baseline!$P$26,GZ95*Baseline!$P$27,HA95*Baseline!$P$28,HB95*Baseline!$P$29,HC95*Baseline!$P$30,HD95*Baseline!$P$31,Baseline!$P$23)</f>
        <v>626.18362874044828</v>
      </c>
      <c r="HG95" s="455" t="e">
        <f t="shared" si="29"/>
        <v>#DIV/0!</v>
      </c>
      <c r="HH95" s="429" t="e">
        <f>IF(HG95&lt;=Baseline!$J$13,1,0)</f>
        <v>#DIV/0!</v>
      </c>
      <c r="HI95" s="429">
        <f t="shared" si="30"/>
        <v>392105.93690255558</v>
      </c>
      <c r="HJ95" s="429">
        <f t="shared" si="25"/>
        <v>48910903.069173105</v>
      </c>
      <c r="HK95" s="429">
        <f t="shared" si="26"/>
        <v>58061606.033611111</v>
      </c>
      <c r="HL95" s="429" t="str">
        <f>IF(HM95=Reference!$I$12,(HF95-GV95),"")</f>
        <v/>
      </c>
      <c r="HM95" s="429" t="str">
        <f>Reference!I95</f>
        <v/>
      </c>
      <c r="HN95" s="429" t="str">
        <f t="shared" si="31"/>
        <v/>
      </c>
      <c r="HO95" s="453"/>
      <c r="HP95" s="453"/>
      <c r="HQ95" s="453"/>
      <c r="HR95" s="465"/>
      <c r="HS95" s="453"/>
      <c r="HT95" s="453"/>
    </row>
    <row r="96" spans="189:228" ht="17.25" customHeight="1" x14ac:dyDescent="0.35">
      <c r="GG96" s="432"/>
      <c r="GJ96" s="429" t="str">
        <f>IF(GK96=$GJ$15,$GJ$15,IF(GJ$24=HF$4,SUM(GK$25:GK96),SUM(GL$25:GL96)))</f>
        <v>N</v>
      </c>
      <c r="GK96" s="438" t="str">
        <f>IFERROR('!!'!G96-'!!'!D96,$GJ$15)</f>
        <v>N</v>
      </c>
      <c r="GL96" s="429" t="str">
        <f t="shared" si="27"/>
        <v>N</v>
      </c>
      <c r="GM96" s="438">
        <f>IFERROR(('!!'!$D96)*('!!'!W96/('!!'!$G96)),0)</f>
        <v>0</v>
      </c>
      <c r="GN96" s="438">
        <f>IFERROR(('!!'!$D96)*('!!'!X96/('!!'!$G96)),0)</f>
        <v>0</v>
      </c>
      <c r="GO96" s="438">
        <f>IFERROR(('!!'!$D96)*('!!'!Y96/('!!'!$G96)),0)</f>
        <v>0</v>
      </c>
      <c r="GP96" s="438">
        <f>IFERROR(('!!'!$D96)*('!!'!Z95/('!!'!$G96)),0)</f>
        <v>0</v>
      </c>
      <c r="GQ96" s="438">
        <f>IFERROR(('!!'!$D96)*('!!'!Q96/('!!'!$G96)),0)</f>
        <v>0</v>
      </c>
      <c r="GR96" s="429">
        <v>1</v>
      </c>
      <c r="GS96" s="429">
        <v>2</v>
      </c>
      <c r="GT96" s="432">
        <f>Monitoring!C96</f>
        <v>0</v>
      </c>
      <c r="GU96" s="432">
        <f>Reference!$C96</f>
        <v>0</v>
      </c>
      <c r="GV96" s="429">
        <f>Reference!$D96</f>
        <v>0</v>
      </c>
      <c r="GW96" s="440">
        <f t="shared" si="32"/>
        <v>0</v>
      </c>
      <c r="GX96" s="440">
        <f t="shared" si="32"/>
        <v>0</v>
      </c>
      <c r="GY96" s="440">
        <f t="shared" si="32"/>
        <v>0</v>
      </c>
      <c r="GZ96" s="440">
        <f t="shared" si="32"/>
        <v>0</v>
      </c>
      <c r="HA96" s="440"/>
      <c r="HB96" s="440"/>
      <c r="HC96" s="440"/>
      <c r="HD96" s="440"/>
      <c r="HE96" s="429">
        <f t="shared" si="28"/>
        <v>72</v>
      </c>
      <c r="HF96" s="429">
        <f>SUM(GW96*Baseline!$P$24,GX96*Baseline!$P$25,GY96*Baseline!$P$26,GZ96*Baseline!$P$27,HA96*Baseline!$P$28,HB96*Baseline!$P$29,HC96*Baseline!$P$30,HD96*Baseline!$P$31,Baseline!$P$23)</f>
        <v>626.18362874044828</v>
      </c>
      <c r="HG96" s="455" t="e">
        <f t="shared" si="29"/>
        <v>#DIV/0!</v>
      </c>
      <c r="HH96" s="429" t="e">
        <f>IF(HG96&lt;=Baseline!$J$13,1,0)</f>
        <v>#DIV/0!</v>
      </c>
      <c r="HI96" s="429">
        <f t="shared" si="30"/>
        <v>392105.93690255558</v>
      </c>
      <c r="HJ96" s="429">
        <f t="shared" si="25"/>
        <v>48910903.069173105</v>
      </c>
      <c r="HK96" s="429">
        <f t="shared" si="26"/>
        <v>58061606.033611111</v>
      </c>
      <c r="HL96" s="429" t="str">
        <f>IF(HM96=Reference!$I$12,(HF96-GV96),"")</f>
        <v/>
      </c>
      <c r="HM96" s="429" t="str">
        <f>Reference!I96</f>
        <v/>
      </c>
      <c r="HN96" s="429" t="str">
        <f t="shared" si="31"/>
        <v/>
      </c>
      <c r="HO96" s="453"/>
      <c r="HP96" s="453"/>
      <c r="HQ96" s="453"/>
      <c r="HR96" s="465"/>
      <c r="HS96" s="453"/>
      <c r="HT96" s="453"/>
    </row>
    <row r="97" spans="189:228" ht="17.25" customHeight="1" x14ac:dyDescent="0.35">
      <c r="GG97" s="432"/>
      <c r="GJ97" s="429" t="str">
        <f>IF(GK97=$GJ$15,$GJ$15,IF(GJ$24=HF$4,SUM(GK$25:GK97),SUM(GL$25:GL97)))</f>
        <v>N</v>
      </c>
      <c r="GK97" s="438" t="str">
        <f>IFERROR('!!'!G97-'!!'!D97,$GJ$15)</f>
        <v>N</v>
      </c>
      <c r="GL97" s="429" t="str">
        <f t="shared" si="27"/>
        <v>N</v>
      </c>
      <c r="GM97" s="438">
        <f>IFERROR(('!!'!$D97)*('!!'!W97/('!!'!$G97)),0)</f>
        <v>0</v>
      </c>
      <c r="GN97" s="438">
        <f>IFERROR(('!!'!$D97)*('!!'!X97/('!!'!$G97)),0)</f>
        <v>0</v>
      </c>
      <c r="GO97" s="438">
        <f>IFERROR(('!!'!$D97)*('!!'!Y97/('!!'!$G97)),0)</f>
        <v>0</v>
      </c>
      <c r="GP97" s="438">
        <f>IFERROR(('!!'!$D97)*('!!'!Z96/('!!'!$G97)),0)</f>
        <v>0</v>
      </c>
      <c r="GQ97" s="438">
        <f>IFERROR(('!!'!$D97)*('!!'!Q97/('!!'!$G97)),0)</f>
        <v>0</v>
      </c>
      <c r="GR97" s="429">
        <v>1</v>
      </c>
      <c r="GS97" s="429">
        <v>2</v>
      </c>
      <c r="GT97" s="432">
        <f>Monitoring!C97</f>
        <v>0</v>
      </c>
      <c r="GU97" s="432">
        <f>Reference!$C97</f>
        <v>0</v>
      </c>
      <c r="GV97" s="429">
        <f>Reference!$D97</f>
        <v>0</v>
      </c>
      <c r="GW97" s="440">
        <f t="shared" si="32"/>
        <v>0</v>
      </c>
      <c r="GX97" s="440">
        <f t="shared" si="32"/>
        <v>0</v>
      </c>
      <c r="GY97" s="440">
        <f t="shared" si="32"/>
        <v>0</v>
      </c>
      <c r="GZ97" s="440">
        <f t="shared" si="32"/>
        <v>0</v>
      </c>
      <c r="HA97" s="440"/>
      <c r="HB97" s="440"/>
      <c r="HC97" s="440"/>
      <c r="HD97" s="440"/>
      <c r="HE97" s="429">
        <f t="shared" si="28"/>
        <v>73</v>
      </c>
      <c r="HF97" s="429">
        <f>SUM(GW97*Baseline!$P$24,GX97*Baseline!$P$25,GY97*Baseline!$P$26,GZ97*Baseline!$P$27,HA97*Baseline!$P$28,HB97*Baseline!$P$29,HC97*Baseline!$P$30,HD97*Baseline!$P$31,Baseline!$P$23)</f>
        <v>626.18362874044828</v>
      </c>
      <c r="HG97" s="455" t="e">
        <f t="shared" si="29"/>
        <v>#DIV/0!</v>
      </c>
      <c r="HH97" s="429" t="e">
        <f>IF(HG97&lt;=Baseline!$J$13,1,0)</f>
        <v>#DIV/0!</v>
      </c>
      <c r="HI97" s="429">
        <f t="shared" si="30"/>
        <v>392105.93690255558</v>
      </c>
      <c r="HJ97" s="429">
        <f t="shared" si="25"/>
        <v>48910903.069173105</v>
      </c>
      <c r="HK97" s="429">
        <f t="shared" si="26"/>
        <v>58061606.033611111</v>
      </c>
      <c r="HL97" s="429" t="str">
        <f>IF(HM97=Reference!$I$12,(HF97-GV97),"")</f>
        <v/>
      </c>
      <c r="HM97" s="429" t="str">
        <f>Reference!I97</f>
        <v/>
      </c>
      <c r="HN97" s="429" t="str">
        <f t="shared" si="31"/>
        <v/>
      </c>
      <c r="HO97" s="453"/>
      <c r="HP97" s="453"/>
      <c r="HQ97" s="453"/>
      <c r="HR97" s="465"/>
      <c r="HS97" s="453"/>
      <c r="HT97" s="453"/>
    </row>
    <row r="98" spans="189:228" ht="17.25" customHeight="1" x14ac:dyDescent="0.35">
      <c r="GG98" s="432"/>
      <c r="GJ98" s="429" t="str">
        <f>IF(GK98=$GJ$15,$GJ$15,IF(GJ$24=HF$4,SUM(GK$25:GK98),SUM(GL$25:GL98)))</f>
        <v>N</v>
      </c>
      <c r="GK98" s="438" t="str">
        <f>IFERROR('!!'!G98-'!!'!D98,$GJ$15)</f>
        <v>N</v>
      </c>
      <c r="GL98" s="429" t="str">
        <f t="shared" si="27"/>
        <v>N</v>
      </c>
      <c r="GM98" s="438">
        <f>IFERROR(('!!'!$D98)*('!!'!W98/('!!'!$G98)),0)</f>
        <v>0</v>
      </c>
      <c r="GN98" s="438">
        <f>IFERROR(('!!'!$D98)*('!!'!X98/('!!'!$G98)),0)</f>
        <v>0</v>
      </c>
      <c r="GO98" s="438">
        <f>IFERROR(('!!'!$D98)*('!!'!Y98/('!!'!$G98)),0)</f>
        <v>0</v>
      </c>
      <c r="GP98" s="438">
        <f>IFERROR(('!!'!$D98)*('!!'!Z97/('!!'!$G98)),0)</f>
        <v>0</v>
      </c>
      <c r="GQ98" s="438">
        <f>IFERROR(('!!'!$D98)*('!!'!Q98/('!!'!$G98)),0)</f>
        <v>0</v>
      </c>
      <c r="GR98" s="429">
        <v>1</v>
      </c>
      <c r="GS98" s="429">
        <v>2</v>
      </c>
      <c r="GT98" s="432">
        <f>Monitoring!C98</f>
        <v>0</v>
      </c>
      <c r="GU98" s="432">
        <f>Reference!$C98</f>
        <v>0</v>
      </c>
      <c r="GV98" s="429">
        <f>Reference!$D98</f>
        <v>0</v>
      </c>
      <c r="GW98" s="440">
        <f t="shared" si="32"/>
        <v>0</v>
      </c>
      <c r="GX98" s="440">
        <f t="shared" si="32"/>
        <v>0</v>
      </c>
      <c r="GY98" s="440">
        <f t="shared" si="32"/>
        <v>0</v>
      </c>
      <c r="GZ98" s="440">
        <f t="shared" si="32"/>
        <v>0</v>
      </c>
      <c r="HA98" s="440"/>
      <c r="HB98" s="440"/>
      <c r="HC98" s="440"/>
      <c r="HD98" s="440"/>
      <c r="HE98" s="429">
        <f t="shared" si="28"/>
        <v>74</v>
      </c>
      <c r="HF98" s="429">
        <f>SUM(GW98*Baseline!$P$24,GX98*Baseline!$P$25,GY98*Baseline!$P$26,GZ98*Baseline!$P$27,HA98*Baseline!$P$28,HB98*Baseline!$P$29,HC98*Baseline!$P$30,HD98*Baseline!$P$31,Baseline!$P$23)</f>
        <v>626.18362874044828</v>
      </c>
      <c r="HG98" s="455" t="e">
        <f t="shared" si="29"/>
        <v>#DIV/0!</v>
      </c>
      <c r="HH98" s="429" t="e">
        <f>IF(HG98&lt;=Baseline!$J$13,1,0)</f>
        <v>#DIV/0!</v>
      </c>
      <c r="HI98" s="429">
        <f t="shared" si="30"/>
        <v>392105.93690255558</v>
      </c>
      <c r="HJ98" s="429">
        <f t="shared" si="25"/>
        <v>48910903.069173105</v>
      </c>
      <c r="HK98" s="429">
        <f t="shared" si="26"/>
        <v>58061606.033611111</v>
      </c>
      <c r="HL98" s="429" t="str">
        <f>IF(HM98=Reference!$I$12,(HF98-GV98),"")</f>
        <v/>
      </c>
      <c r="HM98" s="429" t="str">
        <f>Reference!I98</f>
        <v/>
      </c>
      <c r="HN98" s="429" t="str">
        <f t="shared" si="31"/>
        <v/>
      </c>
      <c r="HO98" s="453"/>
      <c r="HP98" s="453"/>
      <c r="HQ98" s="453"/>
      <c r="HR98" s="465"/>
      <c r="HS98" s="453"/>
      <c r="HT98" s="453"/>
    </row>
    <row r="99" spans="189:228" ht="17.25" customHeight="1" x14ac:dyDescent="0.35">
      <c r="GG99" s="432"/>
      <c r="GJ99" s="429" t="str">
        <f>IF(GK99=$GJ$15,$GJ$15,IF(GJ$24=HF$4,SUM(GK$25:GK99),SUM(GL$25:GL99)))</f>
        <v>N</v>
      </c>
      <c r="GK99" s="438" t="str">
        <f>IFERROR('!!'!G99-'!!'!D99,$GJ$15)</f>
        <v>N</v>
      </c>
      <c r="GL99" s="429" t="str">
        <f t="shared" si="27"/>
        <v>N</v>
      </c>
      <c r="GM99" s="438">
        <f>IFERROR(('!!'!$D99)*('!!'!W99/('!!'!$G99)),0)</f>
        <v>0</v>
      </c>
      <c r="GN99" s="438">
        <f>IFERROR(('!!'!$D99)*('!!'!X99/('!!'!$G99)),0)</f>
        <v>0</v>
      </c>
      <c r="GO99" s="438">
        <f>IFERROR(('!!'!$D99)*('!!'!Y99/('!!'!$G99)),0)</f>
        <v>0</v>
      </c>
      <c r="GP99" s="438">
        <f>IFERROR(('!!'!$D99)*('!!'!Z98/('!!'!$G99)),0)</f>
        <v>0</v>
      </c>
      <c r="GQ99" s="438">
        <f>IFERROR(('!!'!$D99)*('!!'!Q99/('!!'!$G99)),0)</f>
        <v>0</v>
      </c>
      <c r="GR99" s="429">
        <v>1</v>
      </c>
      <c r="GS99" s="429">
        <v>2</v>
      </c>
      <c r="GT99" s="432">
        <f>Monitoring!C99</f>
        <v>0</v>
      </c>
      <c r="GU99" s="432">
        <f>Reference!$C99</f>
        <v>0</v>
      </c>
      <c r="GV99" s="429">
        <f>Reference!$D99</f>
        <v>0</v>
      </c>
      <c r="GW99" s="440">
        <f t="shared" si="32"/>
        <v>0</v>
      </c>
      <c r="GX99" s="440">
        <f t="shared" si="32"/>
        <v>0</v>
      </c>
      <c r="GY99" s="440">
        <f t="shared" si="32"/>
        <v>0</v>
      </c>
      <c r="GZ99" s="440">
        <f t="shared" si="32"/>
        <v>0</v>
      </c>
      <c r="HA99" s="440"/>
      <c r="HB99" s="440"/>
      <c r="HC99" s="440"/>
      <c r="HD99" s="440"/>
      <c r="HE99" s="429">
        <f t="shared" si="28"/>
        <v>75</v>
      </c>
      <c r="HF99" s="429">
        <f>SUM(GW99*Baseline!$P$24,GX99*Baseline!$P$25,GY99*Baseline!$P$26,GZ99*Baseline!$P$27,HA99*Baseline!$P$28,HB99*Baseline!$P$29,HC99*Baseline!$P$30,HD99*Baseline!$P$31,Baseline!$P$23)</f>
        <v>626.18362874044828</v>
      </c>
      <c r="HG99" s="455" t="e">
        <f t="shared" si="29"/>
        <v>#DIV/0!</v>
      </c>
      <c r="HH99" s="429" t="e">
        <f>IF(HG99&lt;=Baseline!$J$13,1,0)</f>
        <v>#DIV/0!</v>
      </c>
      <c r="HI99" s="429">
        <f t="shared" si="30"/>
        <v>392105.93690255558</v>
      </c>
      <c r="HJ99" s="429">
        <f t="shared" si="25"/>
        <v>48910903.069173105</v>
      </c>
      <c r="HK99" s="429">
        <f t="shared" si="26"/>
        <v>58061606.033611111</v>
      </c>
      <c r="HL99" s="429" t="str">
        <f>IF(HM99=Reference!$I$12,(HF99-GV99),"")</f>
        <v/>
      </c>
      <c r="HM99" s="429" t="str">
        <f>Reference!I99</f>
        <v/>
      </c>
      <c r="HN99" s="429" t="str">
        <f t="shared" si="31"/>
        <v/>
      </c>
      <c r="HO99" s="453"/>
      <c r="HP99" s="453"/>
      <c r="HQ99" s="453"/>
      <c r="HR99" s="465"/>
      <c r="HS99" s="453"/>
      <c r="HT99" s="453"/>
    </row>
    <row r="100" spans="189:228" ht="17.25" customHeight="1" x14ac:dyDescent="0.35">
      <c r="GG100" s="432"/>
      <c r="GJ100" s="429" t="str">
        <f>IF(GK100=$GJ$15,$GJ$15,IF(GJ$24=HF$4,SUM(GK$25:GK100),SUM(GL$25:GL100)))</f>
        <v>N</v>
      </c>
      <c r="GK100" s="438" t="str">
        <f>IFERROR('!!'!G100-'!!'!D100,$GJ$15)</f>
        <v>N</v>
      </c>
      <c r="GL100" s="429" t="str">
        <f t="shared" si="27"/>
        <v>N</v>
      </c>
      <c r="GM100" s="438">
        <f>IFERROR(('!!'!$D100)*('!!'!W100/('!!'!$G100)),0)</f>
        <v>0</v>
      </c>
      <c r="GN100" s="438">
        <f>IFERROR(('!!'!$D100)*('!!'!X100/('!!'!$G100)),0)</f>
        <v>0</v>
      </c>
      <c r="GO100" s="438">
        <f>IFERROR(('!!'!$D100)*('!!'!Y100/('!!'!$G100)),0)</f>
        <v>0</v>
      </c>
      <c r="GP100" s="438">
        <f>IFERROR(('!!'!$D100)*('!!'!Z99/('!!'!$G100)),0)</f>
        <v>0</v>
      </c>
      <c r="GQ100" s="438">
        <f>IFERROR(('!!'!$D100)*('!!'!Q100/('!!'!$G100)),0)</f>
        <v>0</v>
      </c>
      <c r="GR100" s="429">
        <v>1</v>
      </c>
      <c r="GS100" s="429">
        <v>2</v>
      </c>
      <c r="GT100" s="432">
        <f>Monitoring!C100</f>
        <v>0</v>
      </c>
      <c r="GU100" s="432">
        <f>Reference!$C100</f>
        <v>0</v>
      </c>
      <c r="GV100" s="429">
        <f>Reference!$D100</f>
        <v>0</v>
      </c>
      <c r="GW100" s="440">
        <f t="shared" si="32"/>
        <v>0</v>
      </c>
      <c r="GX100" s="440">
        <f t="shared" si="32"/>
        <v>0</v>
      </c>
      <c r="GY100" s="440">
        <f t="shared" si="32"/>
        <v>0</v>
      </c>
      <c r="GZ100" s="440">
        <f t="shared" si="32"/>
        <v>0</v>
      </c>
      <c r="HA100" s="440"/>
      <c r="HB100" s="440"/>
      <c r="HC100" s="440"/>
      <c r="HD100" s="440"/>
      <c r="HE100" s="429">
        <f t="shared" si="28"/>
        <v>76</v>
      </c>
      <c r="HF100" s="429">
        <f>SUM(GW100*Baseline!$P$24,GX100*Baseline!$P$25,GY100*Baseline!$P$26,GZ100*Baseline!$P$27,HA100*Baseline!$P$28,HB100*Baseline!$P$29,HC100*Baseline!$P$30,HD100*Baseline!$P$31,Baseline!$P$23)</f>
        <v>626.18362874044828</v>
      </c>
      <c r="HG100" s="455" t="e">
        <f t="shared" si="29"/>
        <v>#DIV/0!</v>
      </c>
      <c r="HH100" s="429" t="e">
        <f>IF(HG100&lt;=Baseline!$J$13,1,0)</f>
        <v>#DIV/0!</v>
      </c>
      <c r="HI100" s="429">
        <f t="shared" si="30"/>
        <v>392105.93690255558</v>
      </c>
      <c r="HJ100" s="429">
        <f t="shared" si="25"/>
        <v>48910903.069173105</v>
      </c>
      <c r="HK100" s="429">
        <f t="shared" si="26"/>
        <v>58061606.033611111</v>
      </c>
      <c r="HL100" s="429" t="str">
        <f>IF(HM100=Reference!$I$12,(HF100-GV100),"")</f>
        <v/>
      </c>
      <c r="HM100" s="429" t="str">
        <f>Reference!I100</f>
        <v/>
      </c>
      <c r="HN100" s="429" t="str">
        <f t="shared" si="31"/>
        <v/>
      </c>
      <c r="HO100" s="453"/>
      <c r="HP100" s="453"/>
      <c r="HQ100" s="453"/>
      <c r="HR100" s="465"/>
      <c r="HS100" s="453"/>
      <c r="HT100" s="453"/>
    </row>
    <row r="101" spans="189:228" ht="17.25" customHeight="1" x14ac:dyDescent="0.35">
      <c r="GG101" s="432"/>
      <c r="GJ101" s="429" t="str">
        <f>IF(GK101=$GJ$15,$GJ$15,IF(GJ$24=HF$4,SUM(GK$25:GK101),SUM(GL$25:GL101)))</f>
        <v>N</v>
      </c>
      <c r="GK101" s="438" t="str">
        <f>IFERROR('!!'!G101-'!!'!D101,$GJ$15)</f>
        <v>N</v>
      </c>
      <c r="GL101" s="429" t="str">
        <f t="shared" si="27"/>
        <v>N</v>
      </c>
      <c r="GM101" s="438">
        <f>IFERROR(('!!'!$D101)*('!!'!W101/('!!'!$G101)),0)</f>
        <v>0</v>
      </c>
      <c r="GN101" s="438">
        <f>IFERROR(('!!'!$D101)*('!!'!X101/('!!'!$G101)),0)</f>
        <v>0</v>
      </c>
      <c r="GO101" s="438">
        <f>IFERROR(('!!'!$D101)*('!!'!Y101/('!!'!$G101)),0)</f>
        <v>0</v>
      </c>
      <c r="GP101" s="438">
        <f>IFERROR(('!!'!$D101)*('!!'!Z100/('!!'!$G101)),0)</f>
        <v>0</v>
      </c>
      <c r="GQ101" s="438">
        <f>IFERROR(('!!'!$D101)*('!!'!Q101/('!!'!$G101)),0)</f>
        <v>0</v>
      </c>
      <c r="GR101" s="429">
        <v>1</v>
      </c>
      <c r="GS101" s="429">
        <v>2</v>
      </c>
      <c r="GT101" s="432">
        <f>Monitoring!C101</f>
        <v>0</v>
      </c>
      <c r="GU101" s="432">
        <f>Reference!$C101</f>
        <v>0</v>
      </c>
      <c r="GV101" s="429">
        <f>Reference!$D101</f>
        <v>0</v>
      </c>
      <c r="GW101" s="440">
        <f t="shared" si="32"/>
        <v>0</v>
      </c>
      <c r="GX101" s="440">
        <f t="shared" si="32"/>
        <v>0</v>
      </c>
      <c r="GY101" s="440">
        <f t="shared" si="32"/>
        <v>0</v>
      </c>
      <c r="GZ101" s="440">
        <f t="shared" si="32"/>
        <v>0</v>
      </c>
      <c r="HA101" s="440"/>
      <c r="HB101" s="440"/>
      <c r="HC101" s="440"/>
      <c r="HD101" s="440"/>
      <c r="HE101" s="429">
        <f t="shared" si="28"/>
        <v>77</v>
      </c>
      <c r="HF101" s="429">
        <f>SUM(GW101*Baseline!$P$24,GX101*Baseline!$P$25,GY101*Baseline!$P$26,GZ101*Baseline!$P$27,HA101*Baseline!$P$28,HB101*Baseline!$P$29,HC101*Baseline!$P$30,HD101*Baseline!$P$31,Baseline!$P$23)</f>
        <v>626.18362874044828</v>
      </c>
      <c r="HG101" s="455" t="e">
        <f t="shared" si="29"/>
        <v>#DIV/0!</v>
      </c>
      <c r="HH101" s="429" t="e">
        <f>IF(HG101&lt;=Baseline!$J$13,1,0)</f>
        <v>#DIV/0!</v>
      </c>
      <c r="HI101" s="429">
        <f t="shared" si="30"/>
        <v>392105.93690255558</v>
      </c>
      <c r="HJ101" s="429">
        <f t="shared" si="25"/>
        <v>48910903.069173105</v>
      </c>
      <c r="HK101" s="429">
        <f t="shared" si="26"/>
        <v>58061606.033611111</v>
      </c>
      <c r="HL101" s="429" t="str">
        <f>IF(HM101=Reference!$I$12,(HF101-GV101),"")</f>
        <v/>
      </c>
      <c r="HM101" s="429" t="str">
        <f>Reference!I101</f>
        <v/>
      </c>
      <c r="HN101" s="429" t="str">
        <f t="shared" si="31"/>
        <v/>
      </c>
      <c r="HO101" s="453"/>
      <c r="HP101" s="453"/>
      <c r="HQ101" s="453"/>
      <c r="HR101" s="465"/>
      <c r="HS101" s="453"/>
      <c r="HT101" s="453"/>
    </row>
    <row r="102" spans="189:228" ht="17.25" customHeight="1" x14ac:dyDescent="0.35">
      <c r="GG102" s="432"/>
      <c r="GJ102" s="429" t="str">
        <f>IF(GK102=$GJ$15,$GJ$15,IF(GJ$24=HF$4,SUM(GK$25:GK102),SUM(GL$25:GL102)))</f>
        <v>N</v>
      </c>
      <c r="GK102" s="438" t="str">
        <f>IFERROR('!!'!G102-'!!'!D102,$GJ$15)</f>
        <v>N</v>
      </c>
      <c r="GL102" s="429" t="str">
        <f t="shared" si="27"/>
        <v>N</v>
      </c>
      <c r="GM102" s="438">
        <f>IFERROR(('!!'!$D102)*('!!'!W102/('!!'!$G102)),0)</f>
        <v>0</v>
      </c>
      <c r="GN102" s="438">
        <f>IFERROR(('!!'!$D102)*('!!'!X102/('!!'!$G102)),0)</f>
        <v>0</v>
      </c>
      <c r="GO102" s="438">
        <f>IFERROR(('!!'!$D102)*('!!'!Y102/('!!'!$G102)),0)</f>
        <v>0</v>
      </c>
      <c r="GP102" s="438">
        <f>IFERROR(('!!'!$D102)*('!!'!Z101/('!!'!$G102)),0)</f>
        <v>0</v>
      </c>
      <c r="GQ102" s="438">
        <f>IFERROR(('!!'!$D102)*('!!'!Q102/('!!'!$G102)),0)</f>
        <v>0</v>
      </c>
      <c r="GR102" s="429">
        <v>1</v>
      </c>
      <c r="GS102" s="429">
        <v>2</v>
      </c>
      <c r="GT102" s="432">
        <f>Monitoring!C102</f>
        <v>0</v>
      </c>
      <c r="GU102" s="432">
        <f>Reference!$C102</f>
        <v>0</v>
      </c>
      <c r="GV102" s="429">
        <f>Reference!$D102</f>
        <v>0</v>
      </c>
      <c r="GW102" s="440">
        <f t="shared" si="32"/>
        <v>0</v>
      </c>
      <c r="GX102" s="440">
        <f t="shared" si="32"/>
        <v>0</v>
      </c>
      <c r="GY102" s="440">
        <f t="shared" si="32"/>
        <v>0</v>
      </c>
      <c r="GZ102" s="440">
        <f t="shared" si="32"/>
        <v>0</v>
      </c>
      <c r="HA102" s="440"/>
      <c r="HB102" s="440"/>
      <c r="HC102" s="440"/>
      <c r="HD102" s="440"/>
      <c r="HE102" s="429">
        <f t="shared" si="28"/>
        <v>78</v>
      </c>
      <c r="HF102" s="429">
        <f>SUM(GW102*Baseline!$P$24,GX102*Baseline!$P$25,GY102*Baseline!$P$26,GZ102*Baseline!$P$27,HA102*Baseline!$P$28,HB102*Baseline!$P$29,HC102*Baseline!$P$30,HD102*Baseline!$P$31,Baseline!$P$23)</f>
        <v>626.18362874044828</v>
      </c>
      <c r="HG102" s="455" t="e">
        <f t="shared" si="29"/>
        <v>#DIV/0!</v>
      </c>
      <c r="HH102" s="429" t="e">
        <f>IF(HG102&lt;=Baseline!$J$13,1,0)</f>
        <v>#DIV/0!</v>
      </c>
      <c r="HI102" s="429">
        <f t="shared" si="30"/>
        <v>392105.93690255558</v>
      </c>
      <c r="HJ102" s="429">
        <f t="shared" si="25"/>
        <v>48910903.069173105</v>
      </c>
      <c r="HK102" s="429">
        <f t="shared" si="26"/>
        <v>58061606.033611111</v>
      </c>
      <c r="HL102" s="429" t="str">
        <f>IF(HM102=Reference!$I$12,(HF102-GV102),"")</f>
        <v/>
      </c>
      <c r="HM102" s="429" t="str">
        <f>Reference!I102</f>
        <v/>
      </c>
      <c r="HN102" s="429" t="str">
        <f t="shared" si="31"/>
        <v/>
      </c>
      <c r="HO102" s="453"/>
      <c r="HP102" s="453"/>
      <c r="HQ102" s="453"/>
      <c r="HR102" s="465"/>
      <c r="HS102" s="453"/>
      <c r="HT102" s="453"/>
    </row>
    <row r="103" spans="189:228" ht="17.25" customHeight="1" x14ac:dyDescent="0.35">
      <c r="GG103" s="432"/>
      <c r="GJ103" s="429" t="str">
        <f>IF(GK103=$GJ$15,$GJ$15,IF(GJ$24=HF$4,SUM(GK$25:GK103),SUM(GL$25:GL103)))</f>
        <v>N</v>
      </c>
      <c r="GK103" s="438" t="str">
        <f>IFERROR('!!'!G103-'!!'!D103,$GJ$15)</f>
        <v>N</v>
      </c>
      <c r="GL103" s="429" t="str">
        <f t="shared" si="27"/>
        <v>N</v>
      </c>
      <c r="GM103" s="438">
        <f>IFERROR(('!!'!$D103)*('!!'!W103/('!!'!$G103)),0)</f>
        <v>0</v>
      </c>
      <c r="GN103" s="438">
        <f>IFERROR(('!!'!$D103)*('!!'!X103/('!!'!$G103)),0)</f>
        <v>0</v>
      </c>
      <c r="GO103" s="438">
        <f>IFERROR(('!!'!$D103)*('!!'!Y103/('!!'!$G103)),0)</f>
        <v>0</v>
      </c>
      <c r="GP103" s="438">
        <f>IFERROR(('!!'!$D103)*('!!'!Z102/('!!'!$G103)),0)</f>
        <v>0</v>
      </c>
      <c r="GQ103" s="438">
        <f>IFERROR(('!!'!$D103)*('!!'!Q103/('!!'!$G103)),0)</f>
        <v>0</v>
      </c>
      <c r="GR103" s="429">
        <v>1</v>
      </c>
      <c r="GS103" s="429">
        <v>2</v>
      </c>
      <c r="GT103" s="432">
        <f>Monitoring!C103</f>
        <v>0</v>
      </c>
      <c r="GU103" s="432">
        <f>Reference!$C103</f>
        <v>0</v>
      </c>
      <c r="GV103" s="429">
        <f>Reference!$D103</f>
        <v>0</v>
      </c>
      <c r="GW103" s="440">
        <f t="shared" si="32"/>
        <v>0</v>
      </c>
      <c r="GX103" s="440">
        <f t="shared" si="32"/>
        <v>0</v>
      </c>
      <c r="GY103" s="440">
        <f t="shared" si="32"/>
        <v>0</v>
      </c>
      <c r="GZ103" s="440">
        <f t="shared" si="32"/>
        <v>0</v>
      </c>
      <c r="HA103" s="440"/>
      <c r="HB103" s="440"/>
      <c r="HC103" s="440"/>
      <c r="HD103" s="440"/>
      <c r="HE103" s="429">
        <f t="shared" si="28"/>
        <v>79</v>
      </c>
      <c r="HF103" s="429">
        <f>SUM(GW103*Baseline!$P$24,GX103*Baseline!$P$25,GY103*Baseline!$P$26,GZ103*Baseline!$P$27,HA103*Baseline!$P$28,HB103*Baseline!$P$29,HC103*Baseline!$P$30,HD103*Baseline!$P$31,Baseline!$P$23)</f>
        <v>626.18362874044828</v>
      </c>
      <c r="HG103" s="455" t="e">
        <f t="shared" si="29"/>
        <v>#DIV/0!</v>
      </c>
      <c r="HH103" s="429" t="e">
        <f>IF(HG103&lt;=Baseline!$J$13,1,0)</f>
        <v>#DIV/0!</v>
      </c>
      <c r="HI103" s="429">
        <f t="shared" si="30"/>
        <v>392105.93690255558</v>
      </c>
      <c r="HJ103" s="429">
        <f t="shared" si="25"/>
        <v>48910903.069173105</v>
      </c>
      <c r="HK103" s="429">
        <f t="shared" si="26"/>
        <v>58061606.033611111</v>
      </c>
      <c r="HL103" s="429" t="str">
        <f>IF(HM103=Reference!$I$12,(HF103-GV103),"")</f>
        <v/>
      </c>
      <c r="HM103" s="429" t="str">
        <f>Reference!I103</f>
        <v/>
      </c>
      <c r="HN103" s="429" t="str">
        <f t="shared" si="31"/>
        <v/>
      </c>
      <c r="HO103" s="453"/>
      <c r="HP103" s="453"/>
      <c r="HQ103" s="453"/>
      <c r="HR103" s="465"/>
      <c r="HS103" s="453"/>
      <c r="HT103" s="453"/>
    </row>
    <row r="104" spans="189:228" ht="17.25" customHeight="1" x14ac:dyDescent="0.35">
      <c r="GG104" s="432"/>
      <c r="GJ104" s="429" t="str">
        <f>IF(GK104=$GJ$15,$GJ$15,IF(GJ$24=HF$4,SUM(GK$25:GK104),SUM(GL$25:GL104)))</f>
        <v>N</v>
      </c>
      <c r="GK104" s="438" t="str">
        <f>IFERROR('!!'!G104-'!!'!D104,$GJ$15)</f>
        <v>N</v>
      </c>
      <c r="GL104" s="429" t="str">
        <f t="shared" si="27"/>
        <v>N</v>
      </c>
      <c r="GM104" s="438">
        <f>IFERROR(('!!'!$D104)*('!!'!W104/('!!'!$G104)),0)</f>
        <v>0</v>
      </c>
      <c r="GN104" s="438">
        <f>IFERROR(('!!'!$D104)*('!!'!X104/('!!'!$G104)),0)</f>
        <v>0</v>
      </c>
      <c r="GO104" s="438">
        <f>IFERROR(('!!'!$D104)*('!!'!Y104/('!!'!$G104)),0)</f>
        <v>0</v>
      </c>
      <c r="GP104" s="438">
        <f>IFERROR(('!!'!$D104)*('!!'!Z103/('!!'!$G104)),0)</f>
        <v>0</v>
      </c>
      <c r="GQ104" s="438">
        <f>IFERROR(('!!'!$D104)*('!!'!Q104/('!!'!$G104)),0)</f>
        <v>0</v>
      </c>
      <c r="GR104" s="429">
        <v>1</v>
      </c>
      <c r="GS104" s="429">
        <v>2</v>
      </c>
      <c r="GT104" s="432">
        <f>Monitoring!C104</f>
        <v>0</v>
      </c>
      <c r="GU104" s="432">
        <f>Reference!$C104</f>
        <v>0</v>
      </c>
      <c r="GV104" s="429">
        <f>Reference!$D104</f>
        <v>0</v>
      </c>
      <c r="GW104" s="440">
        <f t="shared" si="32"/>
        <v>0</v>
      </c>
      <c r="GX104" s="440">
        <f t="shared" si="32"/>
        <v>0</v>
      </c>
      <c r="GY104" s="440">
        <f t="shared" si="32"/>
        <v>0</v>
      </c>
      <c r="GZ104" s="440">
        <f t="shared" si="32"/>
        <v>0</v>
      </c>
      <c r="HA104" s="440"/>
      <c r="HB104" s="440"/>
      <c r="HC104" s="440"/>
      <c r="HD104" s="440"/>
      <c r="HE104" s="429">
        <f t="shared" si="28"/>
        <v>80</v>
      </c>
      <c r="HF104" s="429">
        <f>SUM(GW104*Baseline!$P$24,GX104*Baseline!$P$25,GY104*Baseline!$P$26,GZ104*Baseline!$P$27,HA104*Baseline!$P$28,HB104*Baseline!$P$29,HC104*Baseline!$P$30,HD104*Baseline!$P$31,Baseline!$P$23)</f>
        <v>626.18362874044828</v>
      </c>
      <c r="HG104" s="455" t="e">
        <f t="shared" si="29"/>
        <v>#DIV/0!</v>
      </c>
      <c r="HH104" s="429" t="e">
        <f>IF(HG104&lt;=Baseline!$J$13,1,0)</f>
        <v>#DIV/0!</v>
      </c>
      <c r="HI104" s="429">
        <f t="shared" si="30"/>
        <v>392105.93690255558</v>
      </c>
      <c r="HJ104" s="429">
        <f t="shared" si="25"/>
        <v>48910903.069173105</v>
      </c>
      <c r="HK104" s="429">
        <f t="shared" si="26"/>
        <v>58061606.033611111</v>
      </c>
      <c r="HL104" s="429" t="str">
        <f>IF(HM104=Reference!$I$12,(HF104-GV104),"")</f>
        <v/>
      </c>
      <c r="HM104" s="429" t="str">
        <f>Reference!I104</f>
        <v/>
      </c>
      <c r="HN104" s="429" t="str">
        <f t="shared" si="31"/>
        <v/>
      </c>
      <c r="HO104" s="453"/>
      <c r="HP104" s="453"/>
      <c r="HQ104" s="453"/>
      <c r="HR104" s="465"/>
      <c r="HS104" s="453"/>
      <c r="HT104" s="453"/>
    </row>
    <row r="105" spans="189:228" ht="17.25" customHeight="1" x14ac:dyDescent="0.35">
      <c r="GG105" s="432"/>
      <c r="GJ105" s="429" t="str">
        <f>IF(GK105=$GJ$15,$GJ$15,IF(GJ$24=HF$4,SUM(GK$25:GK105),SUM(GL$25:GL105)))</f>
        <v>N</v>
      </c>
      <c r="GK105" s="438" t="str">
        <f>IFERROR('!!'!G105-'!!'!D105,$GJ$15)</f>
        <v>N</v>
      </c>
      <c r="GL105" s="429" t="str">
        <f t="shared" si="27"/>
        <v>N</v>
      </c>
      <c r="GM105" s="438">
        <f>IFERROR(('!!'!$D105)*('!!'!W105/('!!'!$G105)),0)</f>
        <v>0</v>
      </c>
      <c r="GN105" s="438">
        <f>IFERROR(('!!'!$D105)*('!!'!X105/('!!'!$G105)),0)</f>
        <v>0</v>
      </c>
      <c r="GO105" s="438">
        <f>IFERROR(('!!'!$D105)*('!!'!Y105/('!!'!$G105)),0)</f>
        <v>0</v>
      </c>
      <c r="GP105" s="438">
        <f>IFERROR(('!!'!$D105)*('!!'!Z104/('!!'!$G105)),0)</f>
        <v>0</v>
      </c>
      <c r="GQ105" s="438">
        <f>IFERROR(('!!'!$D105)*('!!'!Q105/('!!'!$G105)),0)</f>
        <v>0</v>
      </c>
      <c r="GR105" s="429">
        <v>1</v>
      </c>
      <c r="GS105" s="429">
        <v>2</v>
      </c>
      <c r="GT105" s="432">
        <f>Monitoring!C105</f>
        <v>0</v>
      </c>
      <c r="GU105" s="432">
        <f>Reference!$C105</f>
        <v>0</v>
      </c>
      <c r="GV105" s="429">
        <f>Reference!$D105</f>
        <v>0</v>
      </c>
      <c r="GW105" s="440">
        <f t="shared" ref="GW105:GZ114" si="33">IFERROR(VLOOKUP($GU105,Daten.B,GW$22,FALSE)^GW$23,0)</f>
        <v>0</v>
      </c>
      <c r="GX105" s="440">
        <f t="shared" si="33"/>
        <v>0</v>
      </c>
      <c r="GY105" s="440">
        <f t="shared" si="33"/>
        <v>0</v>
      </c>
      <c r="GZ105" s="440">
        <f t="shared" si="33"/>
        <v>0</v>
      </c>
      <c r="HA105" s="440"/>
      <c r="HB105" s="440"/>
      <c r="HC105" s="440"/>
      <c r="HD105" s="440"/>
      <c r="HE105" s="429">
        <f t="shared" si="28"/>
        <v>81</v>
      </c>
      <c r="HF105" s="429">
        <f>SUM(GW105*Baseline!$P$24,GX105*Baseline!$P$25,GY105*Baseline!$P$26,GZ105*Baseline!$P$27,HA105*Baseline!$P$28,HB105*Baseline!$P$29,HC105*Baseline!$P$30,HD105*Baseline!$P$31,Baseline!$P$23)</f>
        <v>626.18362874044828</v>
      </c>
      <c r="HG105" s="455" t="e">
        <f t="shared" si="29"/>
        <v>#DIV/0!</v>
      </c>
      <c r="HH105" s="429" t="e">
        <f>IF(HG105&lt;=Baseline!$J$13,1,0)</f>
        <v>#DIV/0!</v>
      </c>
      <c r="HI105" s="429">
        <f t="shared" si="30"/>
        <v>392105.93690255558</v>
      </c>
      <c r="HJ105" s="429">
        <f t="shared" si="25"/>
        <v>48910903.069173105</v>
      </c>
      <c r="HK105" s="429">
        <f t="shared" si="26"/>
        <v>58061606.033611111</v>
      </c>
      <c r="HL105" s="429" t="str">
        <f>IF(HM105=Reference!$I$12,(HF105-GV105),"")</f>
        <v/>
      </c>
      <c r="HM105" s="429" t="str">
        <f>Reference!I105</f>
        <v/>
      </c>
      <c r="HN105" s="429" t="str">
        <f t="shared" si="31"/>
        <v/>
      </c>
      <c r="HO105" s="453"/>
      <c r="HP105" s="453"/>
      <c r="HQ105" s="453"/>
      <c r="HR105" s="465"/>
      <c r="HS105" s="453"/>
      <c r="HT105" s="453"/>
    </row>
    <row r="106" spans="189:228" ht="17.25" customHeight="1" x14ac:dyDescent="0.35">
      <c r="GG106" s="432"/>
      <c r="GJ106" s="429" t="str">
        <f>IF(GK106=$GJ$15,$GJ$15,IF(GJ$24=HF$4,SUM(GK$25:GK106),SUM(GL$25:GL106)))</f>
        <v>N</v>
      </c>
      <c r="GK106" s="438" t="str">
        <f>IFERROR('!!'!G106-'!!'!D106,$GJ$15)</f>
        <v>N</v>
      </c>
      <c r="GL106" s="429" t="str">
        <f t="shared" si="27"/>
        <v>N</v>
      </c>
      <c r="GM106" s="438">
        <f>IFERROR(('!!'!$D106)*('!!'!W106/('!!'!$G106)),0)</f>
        <v>0</v>
      </c>
      <c r="GN106" s="438">
        <f>IFERROR(('!!'!$D106)*('!!'!X106/('!!'!$G106)),0)</f>
        <v>0</v>
      </c>
      <c r="GO106" s="438">
        <f>IFERROR(('!!'!$D106)*('!!'!Y106/('!!'!$G106)),0)</f>
        <v>0</v>
      </c>
      <c r="GP106" s="438">
        <f>IFERROR(('!!'!$D106)*('!!'!Z105/('!!'!$G106)),0)</f>
        <v>0</v>
      </c>
      <c r="GQ106" s="438">
        <f>IFERROR(('!!'!$D106)*('!!'!Q106/('!!'!$G106)),0)</f>
        <v>0</v>
      </c>
      <c r="GR106" s="429">
        <v>1</v>
      </c>
      <c r="GS106" s="429">
        <v>2</v>
      </c>
      <c r="GT106" s="432">
        <f>Monitoring!C106</f>
        <v>0</v>
      </c>
      <c r="GU106" s="432">
        <f>Reference!$C106</f>
        <v>0</v>
      </c>
      <c r="GV106" s="429">
        <f>Reference!$D106</f>
        <v>0</v>
      </c>
      <c r="GW106" s="440">
        <f t="shared" si="33"/>
        <v>0</v>
      </c>
      <c r="GX106" s="440">
        <f t="shared" si="33"/>
        <v>0</v>
      </c>
      <c r="GY106" s="440">
        <f t="shared" si="33"/>
        <v>0</v>
      </c>
      <c r="GZ106" s="440">
        <f t="shared" si="33"/>
        <v>0</v>
      </c>
      <c r="HA106" s="440"/>
      <c r="HB106" s="440"/>
      <c r="HC106" s="440"/>
      <c r="HD106" s="440"/>
      <c r="HE106" s="429">
        <f t="shared" si="28"/>
        <v>82</v>
      </c>
      <c r="HF106" s="429">
        <f>SUM(GW106*Baseline!$P$24,GX106*Baseline!$P$25,GY106*Baseline!$P$26,GZ106*Baseline!$P$27,HA106*Baseline!$P$28,HB106*Baseline!$P$29,HC106*Baseline!$P$30,HD106*Baseline!$P$31,Baseline!$P$23)</f>
        <v>626.18362874044828</v>
      </c>
      <c r="HG106" s="455" t="e">
        <f t="shared" si="29"/>
        <v>#DIV/0!</v>
      </c>
      <c r="HH106" s="429" t="e">
        <f>IF(HG106&lt;=Baseline!$J$13,1,0)</f>
        <v>#DIV/0!</v>
      </c>
      <c r="HI106" s="429">
        <f t="shared" si="30"/>
        <v>392105.93690255558</v>
      </c>
      <c r="HJ106" s="429">
        <f t="shared" si="25"/>
        <v>48910903.069173105</v>
      </c>
      <c r="HK106" s="429">
        <f t="shared" si="26"/>
        <v>58061606.033611111</v>
      </c>
      <c r="HL106" s="429" t="str">
        <f>IF(HM106=Reference!$I$12,(HF106-GV106),"")</f>
        <v/>
      </c>
      <c r="HM106" s="429" t="str">
        <f>Reference!I106</f>
        <v/>
      </c>
      <c r="HN106" s="429" t="str">
        <f t="shared" si="31"/>
        <v/>
      </c>
      <c r="HO106" s="453"/>
      <c r="HP106" s="453"/>
      <c r="HQ106" s="453"/>
      <c r="HR106" s="465"/>
      <c r="HS106" s="453"/>
      <c r="HT106" s="453"/>
    </row>
    <row r="107" spans="189:228" ht="17.25" customHeight="1" x14ac:dyDescent="0.35">
      <c r="GG107" s="432"/>
      <c r="GJ107" s="429" t="str">
        <f>IF(GK107=$GJ$15,$GJ$15,IF(GJ$24=HF$4,SUM(GK$25:GK107),SUM(GL$25:GL107)))</f>
        <v>N</v>
      </c>
      <c r="GK107" s="438" t="str">
        <f>IFERROR('!!'!G107-'!!'!D107,$GJ$15)</f>
        <v>N</v>
      </c>
      <c r="GL107" s="429" t="str">
        <f t="shared" si="27"/>
        <v>N</v>
      </c>
      <c r="GM107" s="438">
        <f>IFERROR(('!!'!$D107)*('!!'!W107/('!!'!$G107)),0)</f>
        <v>0</v>
      </c>
      <c r="GN107" s="438">
        <f>IFERROR(('!!'!$D107)*('!!'!X107/('!!'!$G107)),0)</f>
        <v>0</v>
      </c>
      <c r="GO107" s="438">
        <f>IFERROR(('!!'!$D107)*('!!'!Y107/('!!'!$G107)),0)</f>
        <v>0</v>
      </c>
      <c r="GP107" s="438">
        <f>IFERROR(('!!'!$D107)*('!!'!Z106/('!!'!$G107)),0)</f>
        <v>0</v>
      </c>
      <c r="GQ107" s="438">
        <f>IFERROR(('!!'!$D107)*('!!'!Q107/('!!'!$G107)),0)</f>
        <v>0</v>
      </c>
      <c r="GR107" s="429">
        <v>1</v>
      </c>
      <c r="GS107" s="429">
        <v>2</v>
      </c>
      <c r="GT107" s="432">
        <f>Monitoring!C107</f>
        <v>0</v>
      </c>
      <c r="GU107" s="432">
        <f>Reference!$C107</f>
        <v>0</v>
      </c>
      <c r="GV107" s="429">
        <f>Reference!$D107</f>
        <v>0</v>
      </c>
      <c r="GW107" s="440">
        <f t="shared" si="33"/>
        <v>0</v>
      </c>
      <c r="GX107" s="440">
        <f t="shared" si="33"/>
        <v>0</v>
      </c>
      <c r="GY107" s="440">
        <f t="shared" si="33"/>
        <v>0</v>
      </c>
      <c r="GZ107" s="440">
        <f t="shared" si="33"/>
        <v>0</v>
      </c>
      <c r="HA107" s="440"/>
      <c r="HB107" s="440"/>
      <c r="HC107" s="440"/>
      <c r="HD107" s="440"/>
      <c r="HE107" s="429">
        <f t="shared" si="28"/>
        <v>83</v>
      </c>
      <c r="HF107" s="429">
        <f>SUM(GW107*Baseline!$P$24,GX107*Baseline!$P$25,GY107*Baseline!$P$26,GZ107*Baseline!$P$27,HA107*Baseline!$P$28,HB107*Baseline!$P$29,HC107*Baseline!$P$30,HD107*Baseline!$P$31,Baseline!$P$23)</f>
        <v>626.18362874044828</v>
      </c>
      <c r="HG107" s="455" t="e">
        <f t="shared" si="29"/>
        <v>#DIV/0!</v>
      </c>
      <c r="HH107" s="429" t="e">
        <f>IF(HG107&lt;=Baseline!$J$13,1,0)</f>
        <v>#DIV/0!</v>
      </c>
      <c r="HI107" s="429">
        <f t="shared" si="30"/>
        <v>392105.93690255558</v>
      </c>
      <c r="HJ107" s="429">
        <f t="shared" si="25"/>
        <v>48910903.069173105</v>
      </c>
      <c r="HK107" s="429">
        <f t="shared" si="26"/>
        <v>58061606.033611111</v>
      </c>
      <c r="HL107" s="429" t="str">
        <f>IF(HM107=Reference!$I$12,(HF107-GV107),"")</f>
        <v/>
      </c>
      <c r="HM107" s="429" t="str">
        <f>Reference!I107</f>
        <v/>
      </c>
      <c r="HN107" s="429" t="str">
        <f t="shared" si="31"/>
        <v/>
      </c>
      <c r="HO107" s="453"/>
      <c r="HP107" s="453"/>
      <c r="HQ107" s="453"/>
      <c r="HR107" s="465"/>
      <c r="HS107" s="453"/>
      <c r="HT107" s="453"/>
    </row>
    <row r="108" spans="189:228" ht="17.25" customHeight="1" x14ac:dyDescent="0.35">
      <c r="GG108" s="432"/>
      <c r="GJ108" s="429" t="str">
        <f>IF(GK108=$GJ$15,$GJ$15,IF(GJ$24=HF$4,SUM(GK$25:GK108),SUM(GL$25:GL108)))</f>
        <v>N</v>
      </c>
      <c r="GK108" s="438" t="str">
        <f>IFERROR('!!'!G108-'!!'!D108,$GJ$15)</f>
        <v>N</v>
      </c>
      <c r="GL108" s="429" t="str">
        <f t="shared" si="27"/>
        <v>N</v>
      </c>
      <c r="GM108" s="438">
        <f>IFERROR(('!!'!$D108)*('!!'!W108/('!!'!$G108)),0)</f>
        <v>0</v>
      </c>
      <c r="GN108" s="438">
        <f>IFERROR(('!!'!$D108)*('!!'!X108/('!!'!$G108)),0)</f>
        <v>0</v>
      </c>
      <c r="GO108" s="438">
        <f>IFERROR(('!!'!$D108)*('!!'!Y108/('!!'!$G108)),0)</f>
        <v>0</v>
      </c>
      <c r="GP108" s="438">
        <f>IFERROR(('!!'!$D108)*('!!'!Z107/('!!'!$G108)),0)</f>
        <v>0</v>
      </c>
      <c r="GQ108" s="438">
        <f>IFERROR(('!!'!$D108)*('!!'!Q108/('!!'!$G108)),0)</f>
        <v>0</v>
      </c>
      <c r="GR108" s="429">
        <v>1</v>
      </c>
      <c r="GS108" s="429">
        <v>2</v>
      </c>
      <c r="GT108" s="432">
        <f>Monitoring!C108</f>
        <v>0</v>
      </c>
      <c r="GU108" s="432">
        <f>Reference!$C108</f>
        <v>0</v>
      </c>
      <c r="GV108" s="429">
        <f>Reference!$D108</f>
        <v>0</v>
      </c>
      <c r="GW108" s="440">
        <f t="shared" si="33"/>
        <v>0</v>
      </c>
      <c r="GX108" s="440">
        <f t="shared" si="33"/>
        <v>0</v>
      </c>
      <c r="GY108" s="440">
        <f t="shared" si="33"/>
        <v>0</v>
      </c>
      <c r="GZ108" s="440">
        <f t="shared" si="33"/>
        <v>0</v>
      </c>
      <c r="HA108" s="440"/>
      <c r="HB108" s="440"/>
      <c r="HC108" s="440"/>
      <c r="HD108" s="440"/>
      <c r="HE108" s="429">
        <f t="shared" si="28"/>
        <v>84</v>
      </c>
      <c r="HF108" s="429">
        <f>SUM(GW108*Baseline!$P$24,GX108*Baseline!$P$25,GY108*Baseline!$P$26,GZ108*Baseline!$P$27,HA108*Baseline!$P$28,HB108*Baseline!$P$29,HC108*Baseline!$P$30,HD108*Baseline!$P$31,Baseline!$P$23)</f>
        <v>626.18362874044828</v>
      </c>
      <c r="HG108" s="455" t="e">
        <f t="shared" si="29"/>
        <v>#DIV/0!</v>
      </c>
      <c r="HH108" s="429" t="e">
        <f>IF(HG108&lt;=Baseline!$J$13,1,0)</f>
        <v>#DIV/0!</v>
      </c>
      <c r="HI108" s="429">
        <f t="shared" si="30"/>
        <v>392105.93690255558</v>
      </c>
      <c r="HJ108" s="429">
        <f t="shared" si="25"/>
        <v>48910903.069173105</v>
      </c>
      <c r="HK108" s="429">
        <f t="shared" si="26"/>
        <v>58061606.033611111</v>
      </c>
      <c r="HL108" s="429" t="str">
        <f>IF(HM108=Reference!$I$12,(HF108-GV108),"")</f>
        <v/>
      </c>
      <c r="HM108" s="429" t="str">
        <f>Reference!I108</f>
        <v/>
      </c>
      <c r="HN108" s="429" t="str">
        <f t="shared" si="31"/>
        <v/>
      </c>
      <c r="HO108" s="453"/>
      <c r="HP108" s="453"/>
      <c r="HQ108" s="453"/>
      <c r="HR108" s="465"/>
      <c r="HS108" s="453"/>
      <c r="HT108" s="453"/>
    </row>
    <row r="109" spans="189:228" ht="17.25" customHeight="1" x14ac:dyDescent="0.35">
      <c r="GG109" s="432"/>
      <c r="GJ109" s="429" t="str">
        <f>IF(GK109=$GJ$15,$GJ$15,IF(GJ$24=HF$4,SUM(GK$25:GK109),SUM(GL$25:GL109)))</f>
        <v>N</v>
      </c>
      <c r="GK109" s="438" t="str">
        <f>IFERROR('!!'!G109-'!!'!D109,$GJ$15)</f>
        <v>N</v>
      </c>
      <c r="GL109" s="429" t="str">
        <f t="shared" si="27"/>
        <v>N</v>
      </c>
      <c r="GM109" s="438">
        <f>IFERROR(('!!'!$D109)*('!!'!W109/('!!'!$G109)),0)</f>
        <v>0</v>
      </c>
      <c r="GN109" s="438">
        <f>IFERROR(('!!'!$D109)*('!!'!X109/('!!'!$G109)),0)</f>
        <v>0</v>
      </c>
      <c r="GO109" s="438">
        <f>IFERROR(('!!'!$D109)*('!!'!Y109/('!!'!$G109)),0)</f>
        <v>0</v>
      </c>
      <c r="GP109" s="438">
        <f>IFERROR(('!!'!$D109)*('!!'!Z108/('!!'!$G109)),0)</f>
        <v>0</v>
      </c>
      <c r="GQ109" s="438">
        <f>IFERROR(('!!'!$D109)*('!!'!Q109/('!!'!$G109)),0)</f>
        <v>0</v>
      </c>
      <c r="GR109" s="429">
        <v>1</v>
      </c>
      <c r="GS109" s="429">
        <v>2</v>
      </c>
      <c r="GT109" s="432">
        <f>Monitoring!C109</f>
        <v>0</v>
      </c>
      <c r="GU109" s="432">
        <f>Reference!$C109</f>
        <v>0</v>
      </c>
      <c r="GV109" s="429">
        <f>Reference!$D109</f>
        <v>0</v>
      </c>
      <c r="GW109" s="440">
        <f t="shared" si="33"/>
        <v>0</v>
      </c>
      <c r="GX109" s="440">
        <f t="shared" si="33"/>
        <v>0</v>
      </c>
      <c r="GY109" s="440">
        <f t="shared" si="33"/>
        <v>0</v>
      </c>
      <c r="GZ109" s="440">
        <f t="shared" si="33"/>
        <v>0</v>
      </c>
      <c r="HA109" s="440"/>
      <c r="HB109" s="440"/>
      <c r="HC109" s="440"/>
      <c r="HD109" s="440"/>
      <c r="HE109" s="429">
        <f t="shared" si="28"/>
        <v>85</v>
      </c>
      <c r="HF109" s="429">
        <f>SUM(GW109*Baseline!$P$24,GX109*Baseline!$P$25,GY109*Baseline!$P$26,GZ109*Baseline!$P$27,HA109*Baseline!$P$28,HB109*Baseline!$P$29,HC109*Baseline!$P$30,HD109*Baseline!$P$31,Baseline!$P$23)</f>
        <v>626.18362874044828</v>
      </c>
      <c r="HG109" s="455" t="e">
        <f t="shared" si="29"/>
        <v>#DIV/0!</v>
      </c>
      <c r="HH109" s="429" t="e">
        <f>IF(HG109&lt;=Baseline!$J$13,1,0)</f>
        <v>#DIV/0!</v>
      </c>
      <c r="HI109" s="429">
        <f t="shared" si="30"/>
        <v>392105.93690255558</v>
      </c>
      <c r="HJ109" s="429">
        <f t="shared" si="25"/>
        <v>48910903.069173105</v>
      </c>
      <c r="HK109" s="429">
        <f t="shared" si="26"/>
        <v>58061606.033611111</v>
      </c>
      <c r="HL109" s="429" t="str">
        <f>IF(HM109=Reference!$I$12,(HF109-GV109),"")</f>
        <v/>
      </c>
      <c r="HM109" s="429" t="str">
        <f>Reference!I109</f>
        <v/>
      </c>
      <c r="HN109" s="429" t="str">
        <f t="shared" si="31"/>
        <v/>
      </c>
      <c r="HO109" s="453"/>
      <c r="HP109" s="453"/>
      <c r="HQ109" s="453"/>
      <c r="HR109" s="465"/>
      <c r="HS109" s="453"/>
      <c r="HT109" s="453"/>
    </row>
    <row r="110" spans="189:228" ht="17.25" customHeight="1" x14ac:dyDescent="0.35">
      <c r="GG110" s="432"/>
      <c r="GJ110" s="429" t="str">
        <f>IF(GK110=$GJ$15,$GJ$15,IF(GJ$24=HF$4,SUM(GK$25:GK110),SUM(GL$25:GL110)))</f>
        <v>N</v>
      </c>
      <c r="GK110" s="438" t="str">
        <f>IFERROR('!!'!G110-'!!'!D110,$GJ$15)</f>
        <v>N</v>
      </c>
      <c r="GL110" s="429" t="str">
        <f t="shared" si="27"/>
        <v>N</v>
      </c>
      <c r="GM110" s="438">
        <f>IFERROR(('!!'!$D110)*('!!'!W110/('!!'!$G110)),0)</f>
        <v>0</v>
      </c>
      <c r="GN110" s="438">
        <f>IFERROR(('!!'!$D110)*('!!'!X110/('!!'!$G110)),0)</f>
        <v>0</v>
      </c>
      <c r="GO110" s="438">
        <f>IFERROR(('!!'!$D110)*('!!'!Y110/('!!'!$G110)),0)</f>
        <v>0</v>
      </c>
      <c r="GP110" s="438">
        <f>IFERROR(('!!'!$D110)*('!!'!Z109/('!!'!$G110)),0)</f>
        <v>0</v>
      </c>
      <c r="GQ110" s="438">
        <f>IFERROR(('!!'!$D110)*('!!'!Q110/('!!'!$G110)),0)</f>
        <v>0</v>
      </c>
      <c r="GR110" s="429">
        <v>1</v>
      </c>
      <c r="GS110" s="429">
        <v>2</v>
      </c>
      <c r="GT110" s="432">
        <f>Monitoring!C110</f>
        <v>0</v>
      </c>
      <c r="GU110" s="432">
        <f>Reference!$C110</f>
        <v>0</v>
      </c>
      <c r="GV110" s="429">
        <f>Reference!$D110</f>
        <v>0</v>
      </c>
      <c r="GW110" s="440">
        <f t="shared" si="33"/>
        <v>0</v>
      </c>
      <c r="GX110" s="440">
        <f t="shared" si="33"/>
        <v>0</v>
      </c>
      <c r="GY110" s="440">
        <f t="shared" si="33"/>
        <v>0</v>
      </c>
      <c r="GZ110" s="440">
        <f t="shared" si="33"/>
        <v>0</v>
      </c>
      <c r="HA110" s="440"/>
      <c r="HB110" s="440"/>
      <c r="HC110" s="440"/>
      <c r="HD110" s="440"/>
      <c r="HE110" s="429">
        <f t="shared" si="28"/>
        <v>86</v>
      </c>
      <c r="HF110" s="429">
        <f>SUM(GW110*Baseline!$P$24,GX110*Baseline!$P$25,GY110*Baseline!$P$26,GZ110*Baseline!$P$27,HA110*Baseline!$P$28,HB110*Baseline!$P$29,HC110*Baseline!$P$30,HD110*Baseline!$P$31,Baseline!$P$23)</f>
        <v>626.18362874044828</v>
      </c>
      <c r="HG110" s="455" t="e">
        <f t="shared" si="29"/>
        <v>#DIV/0!</v>
      </c>
      <c r="HH110" s="429" t="e">
        <f>IF(HG110&lt;=Baseline!$J$13,1,0)</f>
        <v>#DIV/0!</v>
      </c>
      <c r="HI110" s="429">
        <f t="shared" si="30"/>
        <v>392105.93690255558</v>
      </c>
      <c r="HJ110" s="429">
        <f t="shared" si="25"/>
        <v>48910903.069173105</v>
      </c>
      <c r="HK110" s="429">
        <f t="shared" si="26"/>
        <v>58061606.033611111</v>
      </c>
      <c r="HL110" s="429" t="str">
        <f>IF(HM110=Reference!$I$12,(HF110-GV110),"")</f>
        <v/>
      </c>
      <c r="HM110" s="429" t="str">
        <f>Reference!I110</f>
        <v/>
      </c>
      <c r="HN110" s="429" t="str">
        <f t="shared" si="31"/>
        <v/>
      </c>
      <c r="HO110" s="453"/>
      <c r="HP110" s="453"/>
      <c r="HQ110" s="453"/>
      <c r="HR110" s="465"/>
      <c r="HS110" s="453"/>
      <c r="HT110" s="453"/>
    </row>
    <row r="111" spans="189:228" ht="17.25" customHeight="1" x14ac:dyDescent="0.35">
      <c r="GG111" s="432"/>
      <c r="GJ111" s="429" t="str">
        <f>IF(GK111=$GJ$15,$GJ$15,IF(GJ$24=HF$4,SUM(GK$25:GK111),SUM(GL$25:GL111)))</f>
        <v>N</v>
      </c>
      <c r="GK111" s="438" t="str">
        <f>IFERROR('!!'!G111-'!!'!D111,$GJ$15)</f>
        <v>N</v>
      </c>
      <c r="GL111" s="429" t="str">
        <f t="shared" si="27"/>
        <v>N</v>
      </c>
      <c r="GM111" s="438">
        <f>IFERROR(('!!'!$D111)*('!!'!W111/('!!'!$G111)),0)</f>
        <v>0</v>
      </c>
      <c r="GN111" s="438">
        <f>IFERROR(('!!'!$D111)*('!!'!X111/('!!'!$G111)),0)</f>
        <v>0</v>
      </c>
      <c r="GO111" s="438">
        <f>IFERROR(('!!'!$D111)*('!!'!Y111/('!!'!$G111)),0)</f>
        <v>0</v>
      </c>
      <c r="GP111" s="438">
        <f>IFERROR(('!!'!$D111)*('!!'!Z110/('!!'!$G111)),0)</f>
        <v>0</v>
      </c>
      <c r="GQ111" s="438">
        <f>IFERROR(('!!'!$D111)*('!!'!Q111/('!!'!$G111)),0)</f>
        <v>0</v>
      </c>
      <c r="GR111" s="429">
        <v>1</v>
      </c>
      <c r="GS111" s="429">
        <v>2</v>
      </c>
      <c r="GT111" s="432">
        <f>Monitoring!C111</f>
        <v>0</v>
      </c>
      <c r="GU111" s="432">
        <f>Reference!$C111</f>
        <v>0</v>
      </c>
      <c r="GV111" s="429">
        <f>Reference!$D111</f>
        <v>0</v>
      </c>
      <c r="GW111" s="440">
        <f t="shared" si="33"/>
        <v>0</v>
      </c>
      <c r="GX111" s="440">
        <f t="shared" si="33"/>
        <v>0</v>
      </c>
      <c r="GY111" s="440">
        <f t="shared" si="33"/>
        <v>0</v>
      </c>
      <c r="GZ111" s="440">
        <f t="shared" si="33"/>
        <v>0</v>
      </c>
      <c r="HA111" s="440"/>
      <c r="HB111" s="440"/>
      <c r="HC111" s="440"/>
      <c r="HD111" s="440"/>
      <c r="HE111" s="429">
        <f t="shared" si="28"/>
        <v>87</v>
      </c>
      <c r="HF111" s="429">
        <f>SUM(GW111*Baseline!$P$24,GX111*Baseline!$P$25,GY111*Baseline!$P$26,GZ111*Baseline!$P$27,HA111*Baseline!$P$28,HB111*Baseline!$P$29,HC111*Baseline!$P$30,HD111*Baseline!$P$31,Baseline!$P$23)</f>
        <v>626.18362874044828</v>
      </c>
      <c r="HG111" s="455" t="e">
        <f t="shared" si="29"/>
        <v>#DIV/0!</v>
      </c>
      <c r="HH111" s="429" t="e">
        <f>IF(HG111&lt;=Baseline!$J$13,1,0)</f>
        <v>#DIV/0!</v>
      </c>
      <c r="HI111" s="429">
        <f t="shared" si="30"/>
        <v>392105.93690255558</v>
      </c>
      <c r="HJ111" s="429">
        <f t="shared" si="25"/>
        <v>48910903.069173105</v>
      </c>
      <c r="HK111" s="429">
        <f t="shared" si="26"/>
        <v>58061606.033611111</v>
      </c>
      <c r="HL111" s="429" t="str">
        <f>IF(HM111=Reference!$I$12,(HF111-GV111),"")</f>
        <v/>
      </c>
      <c r="HM111" s="429" t="str">
        <f>Reference!I111</f>
        <v/>
      </c>
      <c r="HN111" s="429" t="str">
        <f t="shared" si="31"/>
        <v/>
      </c>
      <c r="HO111" s="453"/>
      <c r="HP111" s="453"/>
      <c r="HQ111" s="453"/>
      <c r="HR111" s="465"/>
      <c r="HS111" s="453"/>
      <c r="HT111" s="453"/>
    </row>
    <row r="112" spans="189:228" ht="17.25" customHeight="1" x14ac:dyDescent="0.35">
      <c r="GG112" s="432"/>
      <c r="GJ112" s="429" t="str">
        <f>IF(GK112=$GJ$15,$GJ$15,IF(GJ$24=HF$4,SUM(GK$25:GK112),SUM(GL$25:GL112)))</f>
        <v>N</v>
      </c>
      <c r="GK112" s="438" t="str">
        <f>IFERROR('!!'!G112-'!!'!D112,$GJ$15)</f>
        <v>N</v>
      </c>
      <c r="GL112" s="429" t="str">
        <f t="shared" si="27"/>
        <v>N</v>
      </c>
      <c r="GM112" s="438">
        <f>IFERROR(('!!'!$D112)*('!!'!W112/('!!'!$G112)),0)</f>
        <v>0</v>
      </c>
      <c r="GN112" s="438">
        <f>IFERROR(('!!'!$D112)*('!!'!X112/('!!'!$G112)),0)</f>
        <v>0</v>
      </c>
      <c r="GO112" s="438">
        <f>IFERROR(('!!'!$D112)*('!!'!Y112/('!!'!$G112)),0)</f>
        <v>0</v>
      </c>
      <c r="GP112" s="438">
        <f>IFERROR(('!!'!$D112)*('!!'!Z111/('!!'!$G112)),0)</f>
        <v>0</v>
      </c>
      <c r="GQ112" s="438">
        <f>IFERROR(('!!'!$D112)*('!!'!Q112/('!!'!$G112)),0)</f>
        <v>0</v>
      </c>
      <c r="GR112" s="429">
        <v>1</v>
      </c>
      <c r="GS112" s="429">
        <v>2</v>
      </c>
      <c r="GT112" s="432">
        <f>Monitoring!C112</f>
        <v>0</v>
      </c>
      <c r="GU112" s="432">
        <f>Reference!$C112</f>
        <v>0</v>
      </c>
      <c r="GV112" s="429">
        <f>Reference!$D112</f>
        <v>0</v>
      </c>
      <c r="GW112" s="440">
        <f t="shared" si="33"/>
        <v>0</v>
      </c>
      <c r="GX112" s="440">
        <f t="shared" si="33"/>
        <v>0</v>
      </c>
      <c r="GY112" s="440">
        <f t="shared" si="33"/>
        <v>0</v>
      </c>
      <c r="GZ112" s="440">
        <f t="shared" si="33"/>
        <v>0</v>
      </c>
      <c r="HA112" s="440"/>
      <c r="HB112" s="440"/>
      <c r="HC112" s="440"/>
      <c r="HD112" s="440"/>
      <c r="HE112" s="429">
        <f t="shared" si="28"/>
        <v>88</v>
      </c>
      <c r="HF112" s="429">
        <f>SUM(GW112*Baseline!$P$24,GX112*Baseline!$P$25,GY112*Baseline!$P$26,GZ112*Baseline!$P$27,HA112*Baseline!$P$28,HB112*Baseline!$P$29,HC112*Baseline!$P$30,HD112*Baseline!$P$31,Baseline!$P$23)</f>
        <v>626.18362874044828</v>
      </c>
      <c r="HG112" s="455" t="e">
        <f t="shared" si="29"/>
        <v>#DIV/0!</v>
      </c>
      <c r="HH112" s="429" t="e">
        <f>IF(HG112&lt;=Baseline!$J$13,1,0)</f>
        <v>#DIV/0!</v>
      </c>
      <c r="HI112" s="429">
        <f t="shared" si="30"/>
        <v>392105.93690255558</v>
      </c>
      <c r="HJ112" s="429">
        <f t="shared" si="25"/>
        <v>48910903.069173105</v>
      </c>
      <c r="HK112" s="429">
        <f t="shared" si="26"/>
        <v>58061606.033611111</v>
      </c>
      <c r="HL112" s="429" t="str">
        <f>IF(HM112=Reference!$I$12,(HF112-GV112),"")</f>
        <v/>
      </c>
      <c r="HM112" s="429" t="str">
        <f>Reference!I112</f>
        <v/>
      </c>
      <c r="HN112" s="429" t="str">
        <f t="shared" si="31"/>
        <v/>
      </c>
      <c r="HO112" s="453"/>
      <c r="HP112" s="453"/>
      <c r="HQ112" s="453"/>
      <c r="HR112" s="465"/>
      <c r="HS112" s="453"/>
      <c r="HT112" s="453"/>
    </row>
    <row r="113" spans="189:228" ht="17.25" customHeight="1" x14ac:dyDescent="0.35">
      <c r="GG113" s="432"/>
      <c r="GJ113" s="429" t="str">
        <f>IF(GK113=$GJ$15,$GJ$15,IF(GJ$24=HF$4,SUM(GK$25:GK113),SUM(GL$25:GL113)))</f>
        <v>N</v>
      </c>
      <c r="GK113" s="438" t="str">
        <f>IFERROR('!!'!G113-'!!'!D113,$GJ$15)</f>
        <v>N</v>
      </c>
      <c r="GL113" s="429" t="str">
        <f t="shared" si="27"/>
        <v>N</v>
      </c>
      <c r="GM113" s="438">
        <f>IFERROR(('!!'!$D113)*('!!'!W113/('!!'!$G113)),0)</f>
        <v>0</v>
      </c>
      <c r="GN113" s="438">
        <f>IFERROR(('!!'!$D113)*('!!'!X113/('!!'!$G113)),0)</f>
        <v>0</v>
      </c>
      <c r="GO113" s="438">
        <f>IFERROR(('!!'!$D113)*('!!'!Y113/('!!'!$G113)),0)</f>
        <v>0</v>
      </c>
      <c r="GP113" s="438">
        <f>IFERROR(('!!'!$D113)*('!!'!Z112/('!!'!$G113)),0)</f>
        <v>0</v>
      </c>
      <c r="GQ113" s="438">
        <f>IFERROR(('!!'!$D113)*('!!'!Q113/('!!'!$G113)),0)</f>
        <v>0</v>
      </c>
      <c r="GR113" s="429">
        <v>1</v>
      </c>
      <c r="GS113" s="429">
        <v>2</v>
      </c>
      <c r="GT113" s="432">
        <f>Monitoring!C113</f>
        <v>0</v>
      </c>
      <c r="GU113" s="432">
        <f>Reference!$C113</f>
        <v>0</v>
      </c>
      <c r="GV113" s="429">
        <f>Reference!$D113</f>
        <v>0</v>
      </c>
      <c r="GW113" s="440">
        <f t="shared" si="33"/>
        <v>0</v>
      </c>
      <c r="GX113" s="440">
        <f t="shared" si="33"/>
        <v>0</v>
      </c>
      <c r="GY113" s="440">
        <f t="shared" si="33"/>
        <v>0</v>
      </c>
      <c r="GZ113" s="440">
        <f t="shared" si="33"/>
        <v>0</v>
      </c>
      <c r="HA113" s="440"/>
      <c r="HB113" s="440"/>
      <c r="HC113" s="440"/>
      <c r="HD113" s="440"/>
      <c r="HE113" s="429">
        <f t="shared" si="28"/>
        <v>89</v>
      </c>
      <c r="HF113" s="429">
        <f>SUM(GW113*Baseline!$P$24,GX113*Baseline!$P$25,GY113*Baseline!$P$26,GZ113*Baseline!$P$27,HA113*Baseline!$P$28,HB113*Baseline!$P$29,HC113*Baseline!$P$30,HD113*Baseline!$P$31,Baseline!$P$23)</f>
        <v>626.18362874044828</v>
      </c>
      <c r="HG113" s="455" t="e">
        <f t="shared" si="29"/>
        <v>#DIV/0!</v>
      </c>
      <c r="HH113" s="429" t="e">
        <f>IF(HG113&lt;=Baseline!$J$13,1,0)</f>
        <v>#DIV/0!</v>
      </c>
      <c r="HI113" s="429">
        <f t="shared" si="30"/>
        <v>392105.93690255558</v>
      </c>
      <c r="HJ113" s="429">
        <f t="shared" si="25"/>
        <v>48910903.069173105</v>
      </c>
      <c r="HK113" s="429">
        <f t="shared" si="26"/>
        <v>58061606.033611111</v>
      </c>
      <c r="HL113" s="429" t="str">
        <f>IF(HM113=Reference!$I$12,(HF113-GV113),"")</f>
        <v/>
      </c>
      <c r="HM113" s="429" t="str">
        <f>Reference!I113</f>
        <v/>
      </c>
      <c r="HN113" s="429" t="str">
        <f t="shared" si="31"/>
        <v/>
      </c>
      <c r="HO113" s="453"/>
      <c r="HP113" s="453"/>
      <c r="HQ113" s="453"/>
      <c r="HR113" s="465"/>
      <c r="HS113" s="453"/>
      <c r="HT113" s="453"/>
    </row>
    <row r="114" spans="189:228" ht="17.25" customHeight="1" x14ac:dyDescent="0.35">
      <c r="GG114" s="432"/>
      <c r="GJ114" s="429" t="str">
        <f>IF(GK114=$GJ$15,$GJ$15,IF(GJ$24=HF$4,SUM(GK$25:GK114),SUM(GL$25:GL114)))</f>
        <v>N</v>
      </c>
      <c r="GK114" s="438" t="str">
        <f>IFERROR('!!'!G114-'!!'!D114,$GJ$15)</f>
        <v>N</v>
      </c>
      <c r="GL114" s="429" t="str">
        <f t="shared" si="27"/>
        <v>N</v>
      </c>
      <c r="GM114" s="438">
        <f>IFERROR(('!!'!$D114)*('!!'!W114/('!!'!$G114)),0)</f>
        <v>0</v>
      </c>
      <c r="GN114" s="438">
        <f>IFERROR(('!!'!$D114)*('!!'!X114/('!!'!$G114)),0)</f>
        <v>0</v>
      </c>
      <c r="GO114" s="438">
        <f>IFERROR(('!!'!$D114)*('!!'!Y114/('!!'!$G114)),0)</f>
        <v>0</v>
      </c>
      <c r="GP114" s="438">
        <f>IFERROR(('!!'!$D114)*('!!'!Z113/('!!'!$G114)),0)</f>
        <v>0</v>
      </c>
      <c r="GQ114" s="438">
        <f>IFERROR(('!!'!$D114)*('!!'!Q114/('!!'!$G114)),0)</f>
        <v>0</v>
      </c>
      <c r="GR114" s="429">
        <v>1</v>
      </c>
      <c r="GS114" s="429">
        <v>2</v>
      </c>
      <c r="GT114" s="432">
        <f>Monitoring!C114</f>
        <v>0</v>
      </c>
      <c r="GU114" s="432">
        <f>Reference!$C114</f>
        <v>0</v>
      </c>
      <c r="GV114" s="429">
        <f>Reference!$D114</f>
        <v>0</v>
      </c>
      <c r="GW114" s="440">
        <f t="shared" si="33"/>
        <v>0</v>
      </c>
      <c r="GX114" s="440">
        <f t="shared" si="33"/>
        <v>0</v>
      </c>
      <c r="GY114" s="440">
        <f t="shared" si="33"/>
        <v>0</v>
      </c>
      <c r="GZ114" s="440">
        <f t="shared" si="33"/>
        <v>0</v>
      </c>
      <c r="HA114" s="440"/>
      <c r="HB114" s="440"/>
      <c r="HC114" s="440"/>
      <c r="HD114" s="440"/>
      <c r="HE114" s="429">
        <f t="shared" si="28"/>
        <v>90</v>
      </c>
      <c r="HF114" s="429">
        <f>SUM(GW114*Baseline!$P$24,GX114*Baseline!$P$25,GY114*Baseline!$P$26,GZ114*Baseline!$P$27,HA114*Baseline!$P$28,HB114*Baseline!$P$29,HC114*Baseline!$P$30,HD114*Baseline!$P$31,Baseline!$P$23)</f>
        <v>626.18362874044828</v>
      </c>
      <c r="HG114" s="455" t="e">
        <f t="shared" si="29"/>
        <v>#DIV/0!</v>
      </c>
      <c r="HH114" s="429" t="e">
        <f>IF(HG114&lt;=Baseline!$J$13,1,0)</f>
        <v>#DIV/0!</v>
      </c>
      <c r="HI114" s="429">
        <f t="shared" si="30"/>
        <v>392105.93690255558</v>
      </c>
      <c r="HJ114" s="429">
        <f t="shared" si="25"/>
        <v>48910903.069173105</v>
      </c>
      <c r="HK114" s="429">
        <f t="shared" si="26"/>
        <v>58061606.033611111</v>
      </c>
      <c r="HL114" s="429" t="str">
        <f>IF(HM114=Reference!$I$12,(HF114-GV114),"")</f>
        <v/>
      </c>
      <c r="HM114" s="429" t="str">
        <f>Reference!I114</f>
        <v/>
      </c>
      <c r="HN114" s="429" t="str">
        <f t="shared" si="31"/>
        <v/>
      </c>
      <c r="HO114" s="453"/>
      <c r="HP114" s="453"/>
      <c r="HQ114" s="453"/>
      <c r="HR114" s="465"/>
      <c r="HS114" s="453"/>
      <c r="HT114" s="453"/>
    </row>
    <row r="115" spans="189:228" ht="17.25" customHeight="1" x14ac:dyDescent="0.35">
      <c r="GG115" s="432"/>
      <c r="GJ115" s="429" t="str">
        <f>IF(GK115=$GJ$15,$GJ$15,IF(GJ$24=HF$4,SUM(GK$25:GK115),SUM(GL$25:GL115)))</f>
        <v>N</v>
      </c>
      <c r="GK115" s="438" t="str">
        <f>IFERROR('!!'!G115-'!!'!D115,$GJ$15)</f>
        <v>N</v>
      </c>
      <c r="GL115" s="429" t="str">
        <f t="shared" si="27"/>
        <v>N</v>
      </c>
      <c r="GM115" s="438">
        <f>IFERROR(('!!'!$D115)*('!!'!W115/('!!'!$G115)),0)</f>
        <v>0</v>
      </c>
      <c r="GN115" s="438">
        <f>IFERROR(('!!'!$D115)*('!!'!X115/('!!'!$G115)),0)</f>
        <v>0</v>
      </c>
      <c r="GO115" s="438">
        <f>IFERROR(('!!'!$D115)*('!!'!Y115/('!!'!$G115)),0)</f>
        <v>0</v>
      </c>
      <c r="GP115" s="438">
        <f>IFERROR(('!!'!$D115)*('!!'!Z114/('!!'!$G115)),0)</f>
        <v>0</v>
      </c>
      <c r="GQ115" s="438">
        <f>IFERROR(('!!'!$D115)*('!!'!Q115/('!!'!$G115)),0)</f>
        <v>0</v>
      </c>
      <c r="GR115" s="429">
        <v>1</v>
      </c>
      <c r="GS115" s="429">
        <v>2</v>
      </c>
      <c r="GT115" s="432">
        <f>Monitoring!C115</f>
        <v>0</v>
      </c>
      <c r="GU115" s="432">
        <f>Reference!$C115</f>
        <v>0</v>
      </c>
      <c r="GV115" s="429">
        <f>Reference!$D115</f>
        <v>0</v>
      </c>
      <c r="GW115" s="440">
        <f t="shared" ref="GW115:GZ124" si="34">IFERROR(VLOOKUP($GU115,Daten.B,GW$22,FALSE)^GW$23,0)</f>
        <v>0</v>
      </c>
      <c r="GX115" s="440">
        <f t="shared" si="34"/>
        <v>0</v>
      </c>
      <c r="GY115" s="440">
        <f t="shared" si="34"/>
        <v>0</v>
      </c>
      <c r="GZ115" s="440">
        <f t="shared" si="34"/>
        <v>0</v>
      </c>
      <c r="HA115" s="440"/>
      <c r="HB115" s="440"/>
      <c r="HC115" s="440"/>
      <c r="HD115" s="440"/>
      <c r="HE115" s="429">
        <f t="shared" si="28"/>
        <v>91</v>
      </c>
      <c r="HF115" s="429">
        <f>SUM(GW115*Baseline!$P$24,GX115*Baseline!$P$25,GY115*Baseline!$P$26,GZ115*Baseline!$P$27,HA115*Baseline!$P$28,HB115*Baseline!$P$29,HC115*Baseline!$P$30,HD115*Baseline!$P$31,Baseline!$P$23)</f>
        <v>626.18362874044828</v>
      </c>
      <c r="HG115" s="455" t="e">
        <f t="shared" si="29"/>
        <v>#DIV/0!</v>
      </c>
      <c r="HH115" s="429" t="e">
        <f>IF(HG115&lt;=Baseline!$J$13,1,0)</f>
        <v>#DIV/0!</v>
      </c>
      <c r="HI115" s="429">
        <f t="shared" si="30"/>
        <v>392105.93690255558</v>
      </c>
      <c r="HJ115" s="429">
        <f t="shared" si="25"/>
        <v>48910903.069173105</v>
      </c>
      <c r="HK115" s="429">
        <f t="shared" si="26"/>
        <v>58061606.033611111</v>
      </c>
      <c r="HL115" s="429" t="str">
        <f>IF(HM115=Reference!$I$12,(HF115-GV115),"")</f>
        <v/>
      </c>
      <c r="HM115" s="429" t="str">
        <f>Reference!I115</f>
        <v/>
      </c>
      <c r="HN115" s="429" t="str">
        <f t="shared" si="31"/>
        <v/>
      </c>
      <c r="HO115" s="453"/>
      <c r="HP115" s="453"/>
      <c r="HQ115" s="453"/>
      <c r="HR115" s="465"/>
      <c r="HS115" s="453"/>
      <c r="HT115" s="453"/>
    </row>
    <row r="116" spans="189:228" ht="17.25" customHeight="1" x14ac:dyDescent="0.35">
      <c r="GG116" s="432"/>
      <c r="GJ116" s="429" t="str">
        <f>IF(GK116=$GJ$15,$GJ$15,IF(GJ$24=HF$4,SUM(GK$25:GK116),SUM(GL$25:GL116)))</f>
        <v>N</v>
      </c>
      <c r="GK116" s="438" t="str">
        <f>IFERROR('!!'!G116-'!!'!D116,$GJ$15)</f>
        <v>N</v>
      </c>
      <c r="GL116" s="429" t="str">
        <f t="shared" si="27"/>
        <v>N</v>
      </c>
      <c r="GM116" s="438">
        <f>IFERROR(('!!'!$D116)*('!!'!W116/('!!'!$G116)),0)</f>
        <v>0</v>
      </c>
      <c r="GN116" s="438">
        <f>IFERROR(('!!'!$D116)*('!!'!X116/('!!'!$G116)),0)</f>
        <v>0</v>
      </c>
      <c r="GO116" s="438">
        <f>IFERROR(('!!'!$D116)*('!!'!Y116/('!!'!$G116)),0)</f>
        <v>0</v>
      </c>
      <c r="GP116" s="438">
        <f>IFERROR(('!!'!$D116)*('!!'!Z115/('!!'!$G116)),0)</f>
        <v>0</v>
      </c>
      <c r="GQ116" s="438">
        <f>IFERROR(('!!'!$D116)*('!!'!Q116/('!!'!$G116)),0)</f>
        <v>0</v>
      </c>
      <c r="GR116" s="429">
        <v>1</v>
      </c>
      <c r="GS116" s="429">
        <v>2</v>
      </c>
      <c r="GT116" s="432">
        <f>Monitoring!C116</f>
        <v>0</v>
      </c>
      <c r="GU116" s="432">
        <f>Reference!$C116</f>
        <v>0</v>
      </c>
      <c r="GV116" s="429">
        <f>Reference!$D116</f>
        <v>0</v>
      </c>
      <c r="GW116" s="440">
        <f t="shared" si="34"/>
        <v>0</v>
      </c>
      <c r="GX116" s="440">
        <f t="shared" si="34"/>
        <v>0</v>
      </c>
      <c r="GY116" s="440">
        <f t="shared" si="34"/>
        <v>0</v>
      </c>
      <c r="GZ116" s="440">
        <f t="shared" si="34"/>
        <v>0</v>
      </c>
      <c r="HA116" s="440"/>
      <c r="HB116" s="440"/>
      <c r="HC116" s="440"/>
      <c r="HD116" s="440"/>
      <c r="HE116" s="429">
        <f t="shared" si="28"/>
        <v>92</v>
      </c>
      <c r="HF116" s="429">
        <f>SUM(GW116*Baseline!$P$24,GX116*Baseline!$P$25,GY116*Baseline!$P$26,GZ116*Baseline!$P$27,HA116*Baseline!$P$28,HB116*Baseline!$P$29,HC116*Baseline!$P$30,HD116*Baseline!$P$31,Baseline!$P$23)</f>
        <v>626.18362874044828</v>
      </c>
      <c r="HG116" s="455" t="e">
        <f t="shared" si="29"/>
        <v>#DIV/0!</v>
      </c>
      <c r="HH116" s="429" t="e">
        <f>IF(HG116&lt;=Baseline!$J$13,1,0)</f>
        <v>#DIV/0!</v>
      </c>
      <c r="HI116" s="429">
        <f t="shared" si="30"/>
        <v>392105.93690255558</v>
      </c>
      <c r="HJ116" s="429">
        <f t="shared" si="25"/>
        <v>48910903.069173105</v>
      </c>
      <c r="HK116" s="429">
        <f t="shared" si="26"/>
        <v>58061606.033611111</v>
      </c>
      <c r="HL116" s="429" t="str">
        <f>IF(HM116=Reference!$I$12,(HF116-GV116),"")</f>
        <v/>
      </c>
      <c r="HM116" s="429" t="str">
        <f>Reference!I116</f>
        <v/>
      </c>
      <c r="HN116" s="429" t="str">
        <f t="shared" si="31"/>
        <v/>
      </c>
      <c r="HO116" s="453"/>
      <c r="HP116" s="453"/>
      <c r="HQ116" s="453"/>
      <c r="HR116" s="465"/>
      <c r="HS116" s="453"/>
      <c r="HT116" s="453"/>
    </row>
    <row r="117" spans="189:228" ht="17.25" customHeight="1" x14ac:dyDescent="0.35">
      <c r="GG117" s="432"/>
      <c r="GJ117" s="429" t="str">
        <f>IF(GK117=$GJ$15,$GJ$15,IF(GJ$24=HF$4,SUM(GK$25:GK117),SUM(GL$25:GL117)))</f>
        <v>N</v>
      </c>
      <c r="GK117" s="438" t="str">
        <f>IFERROR('!!'!G117-'!!'!D117,$GJ$15)</f>
        <v>N</v>
      </c>
      <c r="GL117" s="429" t="str">
        <f t="shared" si="27"/>
        <v>N</v>
      </c>
      <c r="GM117" s="438">
        <f>IFERROR(('!!'!$D117)*('!!'!W117/('!!'!$G117)),0)</f>
        <v>0</v>
      </c>
      <c r="GN117" s="438">
        <f>IFERROR(('!!'!$D117)*('!!'!X117/('!!'!$G117)),0)</f>
        <v>0</v>
      </c>
      <c r="GO117" s="438">
        <f>IFERROR(('!!'!$D117)*('!!'!Y117/('!!'!$G117)),0)</f>
        <v>0</v>
      </c>
      <c r="GP117" s="438">
        <f>IFERROR(('!!'!$D117)*('!!'!Z116/('!!'!$G117)),0)</f>
        <v>0</v>
      </c>
      <c r="GQ117" s="438">
        <f>IFERROR(('!!'!$D117)*('!!'!Q117/('!!'!$G117)),0)</f>
        <v>0</v>
      </c>
      <c r="GR117" s="429">
        <v>1</v>
      </c>
      <c r="GS117" s="429">
        <v>2</v>
      </c>
      <c r="GT117" s="432">
        <f>Monitoring!C117</f>
        <v>0</v>
      </c>
      <c r="GU117" s="432">
        <f>Reference!$C117</f>
        <v>0</v>
      </c>
      <c r="GV117" s="429">
        <f>Reference!$D117</f>
        <v>0</v>
      </c>
      <c r="GW117" s="440">
        <f t="shared" si="34"/>
        <v>0</v>
      </c>
      <c r="GX117" s="440">
        <f t="shared" si="34"/>
        <v>0</v>
      </c>
      <c r="GY117" s="440">
        <f t="shared" si="34"/>
        <v>0</v>
      </c>
      <c r="GZ117" s="440">
        <f t="shared" si="34"/>
        <v>0</v>
      </c>
      <c r="HA117" s="440"/>
      <c r="HB117" s="440"/>
      <c r="HC117" s="440"/>
      <c r="HD117" s="440"/>
      <c r="HE117" s="429">
        <f t="shared" si="28"/>
        <v>93</v>
      </c>
      <c r="HF117" s="429">
        <f>SUM(GW117*Baseline!$P$24,GX117*Baseline!$P$25,GY117*Baseline!$P$26,GZ117*Baseline!$P$27,HA117*Baseline!$P$28,HB117*Baseline!$P$29,HC117*Baseline!$P$30,HD117*Baseline!$P$31,Baseline!$P$23)</f>
        <v>626.18362874044828</v>
      </c>
      <c r="HG117" s="455" t="e">
        <f t="shared" si="29"/>
        <v>#DIV/0!</v>
      </c>
      <c r="HH117" s="429" t="e">
        <f>IF(HG117&lt;=Baseline!$J$13,1,0)</f>
        <v>#DIV/0!</v>
      </c>
      <c r="HI117" s="429">
        <f t="shared" si="30"/>
        <v>392105.93690255558</v>
      </c>
      <c r="HJ117" s="429">
        <f t="shared" si="25"/>
        <v>48910903.069173105</v>
      </c>
      <c r="HK117" s="429">
        <f t="shared" si="26"/>
        <v>58061606.033611111</v>
      </c>
      <c r="HL117" s="429" t="str">
        <f>IF(HM117=Reference!$I$12,(HF117-GV117),"")</f>
        <v/>
      </c>
      <c r="HM117" s="429" t="str">
        <f>Reference!I117</f>
        <v/>
      </c>
      <c r="HN117" s="429" t="str">
        <f t="shared" si="31"/>
        <v/>
      </c>
      <c r="HO117" s="453"/>
      <c r="HP117" s="453"/>
      <c r="HQ117" s="453"/>
      <c r="HR117" s="465"/>
      <c r="HS117" s="453"/>
      <c r="HT117" s="453"/>
    </row>
    <row r="118" spans="189:228" ht="17.25" customHeight="1" x14ac:dyDescent="0.35">
      <c r="GG118" s="432"/>
      <c r="GJ118" s="429" t="str">
        <f>IF(GK118=$GJ$15,$GJ$15,IF(GJ$24=HF$4,SUM(GK$25:GK118),SUM(GL$25:GL118)))</f>
        <v>N</v>
      </c>
      <c r="GK118" s="438" t="str">
        <f>IFERROR('!!'!G118-'!!'!D118,$GJ$15)</f>
        <v>N</v>
      </c>
      <c r="GL118" s="429" t="str">
        <f t="shared" si="27"/>
        <v>N</v>
      </c>
      <c r="GM118" s="438">
        <f>IFERROR(('!!'!$D118)*('!!'!W118/('!!'!$G118)),0)</f>
        <v>0</v>
      </c>
      <c r="GN118" s="438">
        <f>IFERROR(('!!'!$D118)*('!!'!X118/('!!'!$G118)),0)</f>
        <v>0</v>
      </c>
      <c r="GO118" s="438">
        <f>IFERROR(('!!'!$D118)*('!!'!Y118/('!!'!$G118)),0)</f>
        <v>0</v>
      </c>
      <c r="GP118" s="438">
        <f>IFERROR(('!!'!$D118)*('!!'!Z117/('!!'!$G118)),0)</f>
        <v>0</v>
      </c>
      <c r="GQ118" s="438">
        <f>IFERROR(('!!'!$D118)*('!!'!Q118/('!!'!$G118)),0)</f>
        <v>0</v>
      </c>
      <c r="GR118" s="429">
        <v>1</v>
      </c>
      <c r="GS118" s="429">
        <v>2</v>
      </c>
      <c r="GT118" s="432">
        <f>Monitoring!C118</f>
        <v>0</v>
      </c>
      <c r="GU118" s="432">
        <f>Reference!$C118</f>
        <v>0</v>
      </c>
      <c r="GV118" s="429">
        <f>Reference!$D118</f>
        <v>0</v>
      </c>
      <c r="GW118" s="440">
        <f t="shared" si="34"/>
        <v>0</v>
      </c>
      <c r="GX118" s="440">
        <f t="shared" si="34"/>
        <v>0</v>
      </c>
      <c r="GY118" s="440">
        <f t="shared" si="34"/>
        <v>0</v>
      </c>
      <c r="GZ118" s="440">
        <f t="shared" si="34"/>
        <v>0</v>
      </c>
      <c r="HA118" s="440"/>
      <c r="HB118" s="440"/>
      <c r="HC118" s="440"/>
      <c r="HD118" s="440"/>
      <c r="HE118" s="429">
        <f t="shared" si="28"/>
        <v>94</v>
      </c>
      <c r="HF118" s="429">
        <f>SUM(GW118*Baseline!$P$24,GX118*Baseline!$P$25,GY118*Baseline!$P$26,GZ118*Baseline!$P$27,HA118*Baseline!$P$28,HB118*Baseline!$P$29,HC118*Baseline!$P$30,HD118*Baseline!$P$31,Baseline!$P$23)</f>
        <v>626.18362874044828</v>
      </c>
      <c r="HG118" s="455" t="e">
        <f t="shared" si="29"/>
        <v>#DIV/0!</v>
      </c>
      <c r="HH118" s="429" t="e">
        <f>IF(HG118&lt;=Baseline!$J$13,1,0)</f>
        <v>#DIV/0!</v>
      </c>
      <c r="HI118" s="429">
        <f t="shared" si="30"/>
        <v>392105.93690255558</v>
      </c>
      <c r="HJ118" s="429">
        <f t="shared" si="25"/>
        <v>48910903.069173105</v>
      </c>
      <c r="HK118" s="429">
        <f t="shared" si="26"/>
        <v>58061606.033611111</v>
      </c>
      <c r="HL118" s="429" t="str">
        <f>IF(HM118=Reference!$I$12,(HF118-GV118),"")</f>
        <v/>
      </c>
      <c r="HM118" s="429" t="str">
        <f>Reference!I118</f>
        <v/>
      </c>
      <c r="HN118" s="429" t="str">
        <f t="shared" si="31"/>
        <v/>
      </c>
      <c r="HO118" s="453"/>
      <c r="HP118" s="453"/>
      <c r="HQ118" s="453"/>
      <c r="HR118" s="465"/>
      <c r="HS118" s="453"/>
      <c r="HT118" s="453"/>
    </row>
    <row r="119" spans="189:228" ht="17.25" customHeight="1" x14ac:dyDescent="0.35">
      <c r="GG119" s="432"/>
      <c r="GJ119" s="429" t="str">
        <f>IF(GK119=$GJ$15,$GJ$15,IF(GJ$24=HF$4,SUM(GK$25:GK119),SUM(GL$25:GL119)))</f>
        <v>N</v>
      </c>
      <c r="GK119" s="438" t="str">
        <f>IFERROR('!!'!G119-'!!'!D119,$GJ$15)</f>
        <v>N</v>
      </c>
      <c r="GL119" s="429" t="str">
        <f t="shared" si="27"/>
        <v>N</v>
      </c>
      <c r="GM119" s="438">
        <f>IFERROR(('!!'!$D119)*('!!'!W119/('!!'!$G119)),0)</f>
        <v>0</v>
      </c>
      <c r="GN119" s="438">
        <f>IFERROR(('!!'!$D119)*('!!'!X119/('!!'!$G119)),0)</f>
        <v>0</v>
      </c>
      <c r="GO119" s="438">
        <f>IFERROR(('!!'!$D119)*('!!'!Y119/('!!'!$G119)),0)</f>
        <v>0</v>
      </c>
      <c r="GP119" s="438">
        <f>IFERROR(('!!'!$D119)*('!!'!Z118/('!!'!$G119)),0)</f>
        <v>0</v>
      </c>
      <c r="GQ119" s="438">
        <f>IFERROR(('!!'!$D119)*('!!'!Q119/('!!'!$G119)),0)</f>
        <v>0</v>
      </c>
      <c r="GR119" s="429">
        <v>1</v>
      </c>
      <c r="GS119" s="429">
        <v>2</v>
      </c>
      <c r="GT119" s="432">
        <f>Monitoring!C119</f>
        <v>0</v>
      </c>
      <c r="GU119" s="432">
        <f>Reference!$C119</f>
        <v>0</v>
      </c>
      <c r="GV119" s="429">
        <f>Reference!$D119</f>
        <v>0</v>
      </c>
      <c r="GW119" s="440">
        <f t="shared" si="34"/>
        <v>0</v>
      </c>
      <c r="GX119" s="440">
        <f t="shared" si="34"/>
        <v>0</v>
      </c>
      <c r="GY119" s="440">
        <f t="shared" si="34"/>
        <v>0</v>
      </c>
      <c r="GZ119" s="440">
        <f t="shared" si="34"/>
        <v>0</v>
      </c>
      <c r="HA119" s="440"/>
      <c r="HB119" s="440"/>
      <c r="HC119" s="440"/>
      <c r="HD119" s="440"/>
      <c r="HE119" s="429">
        <f t="shared" si="28"/>
        <v>95</v>
      </c>
      <c r="HF119" s="429">
        <f>SUM(GW119*Baseline!$P$24,GX119*Baseline!$P$25,GY119*Baseline!$P$26,GZ119*Baseline!$P$27,HA119*Baseline!$P$28,HB119*Baseline!$P$29,HC119*Baseline!$P$30,HD119*Baseline!$P$31,Baseline!$P$23)</f>
        <v>626.18362874044828</v>
      </c>
      <c r="HG119" s="455" t="e">
        <f t="shared" si="29"/>
        <v>#DIV/0!</v>
      </c>
      <c r="HH119" s="429" t="e">
        <f>IF(HG119&lt;=Baseline!$J$13,1,0)</f>
        <v>#DIV/0!</v>
      </c>
      <c r="HI119" s="429">
        <f t="shared" si="30"/>
        <v>392105.93690255558</v>
      </c>
      <c r="HJ119" s="429">
        <f t="shared" si="25"/>
        <v>48910903.069173105</v>
      </c>
      <c r="HK119" s="429">
        <f t="shared" si="26"/>
        <v>58061606.033611111</v>
      </c>
      <c r="HL119" s="429" t="str">
        <f>IF(HM119=Reference!$I$12,(HF119-GV119),"")</f>
        <v/>
      </c>
      <c r="HM119" s="429" t="str">
        <f>Reference!I119</f>
        <v/>
      </c>
      <c r="HN119" s="429" t="str">
        <f t="shared" si="31"/>
        <v/>
      </c>
      <c r="HO119" s="453"/>
      <c r="HP119" s="453"/>
      <c r="HQ119" s="453"/>
      <c r="HR119" s="465"/>
      <c r="HS119" s="453"/>
      <c r="HT119" s="453"/>
    </row>
    <row r="120" spans="189:228" ht="17.25" customHeight="1" x14ac:dyDescent="0.35">
      <c r="GG120" s="432"/>
      <c r="GJ120" s="429" t="str">
        <f>IF(GK120=$GJ$15,$GJ$15,IF(GJ$24=HF$4,SUM(GK$25:GK120),SUM(GL$25:GL120)))</f>
        <v>N</v>
      </c>
      <c r="GK120" s="438" t="str">
        <f>IFERROR('!!'!G120-'!!'!D120,$GJ$15)</f>
        <v>N</v>
      </c>
      <c r="GL120" s="429" t="str">
        <f t="shared" si="27"/>
        <v>N</v>
      </c>
      <c r="GM120" s="438">
        <f>IFERROR(('!!'!$D120)*('!!'!W120/('!!'!$G120)),0)</f>
        <v>0</v>
      </c>
      <c r="GN120" s="438">
        <f>IFERROR(('!!'!$D120)*('!!'!X120/('!!'!$G120)),0)</f>
        <v>0</v>
      </c>
      <c r="GO120" s="438">
        <f>IFERROR(('!!'!$D120)*('!!'!Y120/('!!'!$G120)),0)</f>
        <v>0</v>
      </c>
      <c r="GP120" s="438">
        <f>IFERROR(('!!'!$D120)*('!!'!Z119/('!!'!$G120)),0)</f>
        <v>0</v>
      </c>
      <c r="GQ120" s="438">
        <f>IFERROR(('!!'!$D120)*('!!'!Q120/('!!'!$G120)),0)</f>
        <v>0</v>
      </c>
      <c r="GR120" s="429">
        <v>1</v>
      </c>
      <c r="GS120" s="429">
        <v>2</v>
      </c>
      <c r="GT120" s="432">
        <f>Monitoring!C120</f>
        <v>0</v>
      </c>
      <c r="GU120" s="432">
        <f>Reference!$C120</f>
        <v>0</v>
      </c>
      <c r="GV120" s="429">
        <f>Reference!$D120</f>
        <v>0</v>
      </c>
      <c r="GW120" s="440">
        <f t="shared" si="34"/>
        <v>0</v>
      </c>
      <c r="GX120" s="440">
        <f t="shared" si="34"/>
        <v>0</v>
      </c>
      <c r="GY120" s="440">
        <f t="shared" si="34"/>
        <v>0</v>
      </c>
      <c r="GZ120" s="440">
        <f t="shared" si="34"/>
        <v>0</v>
      </c>
      <c r="HA120" s="440"/>
      <c r="HB120" s="440"/>
      <c r="HC120" s="440"/>
      <c r="HD120" s="440"/>
      <c r="HE120" s="429">
        <f t="shared" si="28"/>
        <v>96</v>
      </c>
      <c r="HF120" s="429">
        <f>SUM(GW120*Baseline!$P$24,GX120*Baseline!$P$25,GY120*Baseline!$P$26,GZ120*Baseline!$P$27,HA120*Baseline!$P$28,HB120*Baseline!$P$29,HC120*Baseline!$P$30,HD120*Baseline!$P$31,Baseline!$P$23)</f>
        <v>626.18362874044828</v>
      </c>
      <c r="HG120" s="455" t="e">
        <f t="shared" si="29"/>
        <v>#DIV/0!</v>
      </c>
      <c r="HH120" s="429" t="e">
        <f>IF(HG120&lt;=Baseline!$J$13,1,0)</f>
        <v>#DIV/0!</v>
      </c>
      <c r="HI120" s="429">
        <f t="shared" si="30"/>
        <v>392105.93690255558</v>
      </c>
      <c r="HJ120" s="429">
        <f t="shared" si="25"/>
        <v>48910903.069173105</v>
      </c>
      <c r="HK120" s="429">
        <f t="shared" si="26"/>
        <v>58061606.033611111</v>
      </c>
      <c r="HL120" s="429" t="str">
        <f>IF(HM120=Reference!$I$12,(HF120-GV120),"")</f>
        <v/>
      </c>
      <c r="HM120" s="429" t="str">
        <f>Reference!I120</f>
        <v/>
      </c>
      <c r="HN120" s="429" t="str">
        <f t="shared" si="31"/>
        <v/>
      </c>
      <c r="HO120" s="453"/>
      <c r="HP120" s="453"/>
      <c r="HQ120" s="453"/>
      <c r="HR120" s="465"/>
      <c r="HS120" s="453"/>
      <c r="HT120" s="453"/>
    </row>
    <row r="121" spans="189:228" ht="17.25" customHeight="1" x14ac:dyDescent="0.35">
      <c r="GG121" s="432"/>
      <c r="GJ121" s="429" t="str">
        <f>IF(GK121=$GJ$15,$GJ$15,IF(GJ$24=HF$4,SUM(GK$25:GK121),SUM(GL$25:GL121)))</f>
        <v>N</v>
      </c>
      <c r="GK121" s="438" t="str">
        <f>IFERROR('!!'!G121-'!!'!D121,$GJ$15)</f>
        <v>N</v>
      </c>
      <c r="GL121" s="429" t="str">
        <f t="shared" si="27"/>
        <v>N</v>
      </c>
      <c r="GM121" s="438">
        <f>IFERROR(('!!'!$D121)*('!!'!W121/('!!'!$G121)),0)</f>
        <v>0</v>
      </c>
      <c r="GN121" s="438">
        <f>IFERROR(('!!'!$D121)*('!!'!X121/('!!'!$G121)),0)</f>
        <v>0</v>
      </c>
      <c r="GO121" s="438">
        <f>IFERROR(('!!'!$D121)*('!!'!Y121/('!!'!$G121)),0)</f>
        <v>0</v>
      </c>
      <c r="GP121" s="438">
        <f>IFERROR(('!!'!$D121)*('!!'!Z120/('!!'!$G121)),0)</f>
        <v>0</v>
      </c>
      <c r="GQ121" s="438">
        <f>IFERROR(('!!'!$D121)*('!!'!Q121/('!!'!$G121)),0)</f>
        <v>0</v>
      </c>
      <c r="GR121" s="429">
        <v>1</v>
      </c>
      <c r="GS121" s="429">
        <v>2</v>
      </c>
      <c r="GT121" s="432">
        <f>Monitoring!C121</f>
        <v>0</v>
      </c>
      <c r="GU121" s="432">
        <f>Reference!$C121</f>
        <v>0</v>
      </c>
      <c r="GV121" s="429">
        <f>Reference!$D121</f>
        <v>0</v>
      </c>
      <c r="GW121" s="440">
        <f t="shared" si="34"/>
        <v>0</v>
      </c>
      <c r="GX121" s="440">
        <f t="shared" si="34"/>
        <v>0</v>
      </c>
      <c r="GY121" s="440">
        <f t="shared" si="34"/>
        <v>0</v>
      </c>
      <c r="GZ121" s="440">
        <f t="shared" si="34"/>
        <v>0</v>
      </c>
      <c r="HA121" s="440"/>
      <c r="HB121" s="440"/>
      <c r="HC121" s="440"/>
      <c r="HD121" s="440"/>
      <c r="HE121" s="429">
        <f t="shared" si="28"/>
        <v>97</v>
      </c>
      <c r="HF121" s="429">
        <f>SUM(GW121*Baseline!$P$24,GX121*Baseline!$P$25,GY121*Baseline!$P$26,GZ121*Baseline!$P$27,HA121*Baseline!$P$28,HB121*Baseline!$P$29,HC121*Baseline!$P$30,HD121*Baseline!$P$31,Baseline!$P$23)</f>
        <v>626.18362874044828</v>
      </c>
      <c r="HG121" s="455" t="e">
        <f t="shared" si="29"/>
        <v>#DIV/0!</v>
      </c>
      <c r="HH121" s="429" t="e">
        <f>IF(HG121&lt;=Baseline!$J$13,1,0)</f>
        <v>#DIV/0!</v>
      </c>
      <c r="HI121" s="429">
        <f t="shared" si="30"/>
        <v>392105.93690255558</v>
      </c>
      <c r="HJ121" s="429">
        <f t="shared" si="25"/>
        <v>48910903.069173105</v>
      </c>
      <c r="HK121" s="429">
        <f t="shared" si="26"/>
        <v>58061606.033611111</v>
      </c>
      <c r="HL121" s="429" t="str">
        <f>IF(HM121=Reference!$I$12,(HF121-GV121),"")</f>
        <v/>
      </c>
      <c r="HM121" s="429" t="str">
        <f>Reference!I121</f>
        <v/>
      </c>
      <c r="HN121" s="429" t="str">
        <f t="shared" si="31"/>
        <v/>
      </c>
      <c r="HO121" s="453"/>
      <c r="HP121" s="453"/>
      <c r="HQ121" s="453"/>
      <c r="HR121" s="465"/>
      <c r="HS121" s="453"/>
      <c r="HT121" s="453"/>
    </row>
    <row r="122" spans="189:228" ht="17.25" customHeight="1" x14ac:dyDescent="0.35">
      <c r="GG122" s="432"/>
      <c r="GJ122" s="429" t="str">
        <f>IF(GK122=$GJ$15,$GJ$15,IF(GJ$24=HF$4,SUM(GK$25:GK122),SUM(GL$25:GL122)))</f>
        <v>N</v>
      </c>
      <c r="GK122" s="438" t="str">
        <f>IFERROR('!!'!G122-'!!'!D122,$GJ$15)</f>
        <v>N</v>
      </c>
      <c r="GL122" s="429" t="str">
        <f t="shared" si="27"/>
        <v>N</v>
      </c>
      <c r="GM122" s="438">
        <f>IFERROR(('!!'!$D122)*('!!'!W122/('!!'!$G122)),0)</f>
        <v>0</v>
      </c>
      <c r="GN122" s="438">
        <f>IFERROR(('!!'!$D122)*('!!'!X122/('!!'!$G122)),0)</f>
        <v>0</v>
      </c>
      <c r="GO122" s="438">
        <f>IFERROR(('!!'!$D122)*('!!'!Y122/('!!'!$G122)),0)</f>
        <v>0</v>
      </c>
      <c r="GP122" s="438">
        <f>IFERROR(('!!'!$D122)*('!!'!Z121/('!!'!$G122)),0)</f>
        <v>0</v>
      </c>
      <c r="GQ122" s="438">
        <f>IFERROR(('!!'!$D122)*('!!'!Q122/('!!'!$G122)),0)</f>
        <v>0</v>
      </c>
      <c r="GR122" s="429">
        <v>1</v>
      </c>
      <c r="GS122" s="429">
        <v>2</v>
      </c>
      <c r="GT122" s="432">
        <f>Monitoring!C122</f>
        <v>0</v>
      </c>
      <c r="GU122" s="432">
        <f>Reference!$C122</f>
        <v>0</v>
      </c>
      <c r="GV122" s="429">
        <f>Reference!$D122</f>
        <v>0</v>
      </c>
      <c r="GW122" s="440">
        <f t="shared" si="34"/>
        <v>0</v>
      </c>
      <c r="GX122" s="440">
        <f t="shared" si="34"/>
        <v>0</v>
      </c>
      <c r="GY122" s="440">
        <f t="shared" si="34"/>
        <v>0</v>
      </c>
      <c r="GZ122" s="440">
        <f t="shared" si="34"/>
        <v>0</v>
      </c>
      <c r="HA122" s="440"/>
      <c r="HB122" s="440"/>
      <c r="HC122" s="440"/>
      <c r="HD122" s="440"/>
      <c r="HE122" s="429">
        <f t="shared" si="28"/>
        <v>98</v>
      </c>
      <c r="HF122" s="429">
        <f>SUM(GW122*Baseline!$P$24,GX122*Baseline!$P$25,GY122*Baseline!$P$26,GZ122*Baseline!$P$27,HA122*Baseline!$P$28,HB122*Baseline!$P$29,HC122*Baseline!$P$30,HD122*Baseline!$P$31,Baseline!$P$23)</f>
        <v>626.18362874044828</v>
      </c>
      <c r="HG122" s="455" t="e">
        <f t="shared" si="29"/>
        <v>#DIV/0!</v>
      </c>
      <c r="HH122" s="429" t="e">
        <f>IF(HG122&lt;=Baseline!$J$13,1,0)</f>
        <v>#DIV/0!</v>
      </c>
      <c r="HI122" s="429">
        <f t="shared" si="30"/>
        <v>392105.93690255558</v>
      </c>
      <c r="HJ122" s="429">
        <f t="shared" si="25"/>
        <v>48910903.069173105</v>
      </c>
      <c r="HK122" s="429">
        <f t="shared" si="26"/>
        <v>58061606.033611111</v>
      </c>
      <c r="HL122" s="429" t="str">
        <f>IF(HM122=Reference!$I$12,(HF122-GV122),"")</f>
        <v/>
      </c>
      <c r="HM122" s="429" t="str">
        <f>Reference!I122</f>
        <v/>
      </c>
      <c r="HN122" s="429" t="str">
        <f t="shared" si="31"/>
        <v/>
      </c>
      <c r="HO122" s="453"/>
      <c r="HP122" s="453"/>
      <c r="HQ122" s="453"/>
      <c r="HR122" s="465"/>
      <c r="HS122" s="453"/>
      <c r="HT122" s="453"/>
    </row>
    <row r="123" spans="189:228" ht="17.25" customHeight="1" x14ac:dyDescent="0.35">
      <c r="GG123" s="432"/>
      <c r="GJ123" s="429" t="str">
        <f>IF(GK123=$GJ$15,$GJ$15,IF(GJ$24=HF$4,SUM(GK$25:GK123),SUM(GL$25:GL123)))</f>
        <v>N</v>
      </c>
      <c r="GK123" s="438" t="str">
        <f>IFERROR('!!'!G123-'!!'!D123,$GJ$15)</f>
        <v>N</v>
      </c>
      <c r="GL123" s="429" t="str">
        <f t="shared" si="27"/>
        <v>N</v>
      </c>
      <c r="GM123" s="438">
        <f>IFERROR(('!!'!$D123)*('!!'!W123/('!!'!$G123)),0)</f>
        <v>0</v>
      </c>
      <c r="GN123" s="438">
        <f>IFERROR(('!!'!$D123)*('!!'!X123/('!!'!$G123)),0)</f>
        <v>0</v>
      </c>
      <c r="GO123" s="438">
        <f>IFERROR(('!!'!$D123)*('!!'!Y123/('!!'!$G123)),0)</f>
        <v>0</v>
      </c>
      <c r="GP123" s="438">
        <f>IFERROR(('!!'!$D123)*('!!'!Z122/('!!'!$G123)),0)</f>
        <v>0</v>
      </c>
      <c r="GQ123" s="438">
        <f>IFERROR(('!!'!$D123)*('!!'!Q123/('!!'!$G123)),0)</f>
        <v>0</v>
      </c>
      <c r="GR123" s="429">
        <v>1</v>
      </c>
      <c r="GS123" s="429">
        <v>2</v>
      </c>
      <c r="GT123" s="432">
        <f>Monitoring!C123</f>
        <v>0</v>
      </c>
      <c r="GU123" s="432">
        <f>Reference!$C123</f>
        <v>0</v>
      </c>
      <c r="GV123" s="429">
        <f>Reference!$D123</f>
        <v>0</v>
      </c>
      <c r="GW123" s="440">
        <f t="shared" si="34"/>
        <v>0</v>
      </c>
      <c r="GX123" s="440">
        <f t="shared" si="34"/>
        <v>0</v>
      </c>
      <c r="GY123" s="440">
        <f t="shared" si="34"/>
        <v>0</v>
      </c>
      <c r="GZ123" s="440">
        <f t="shared" si="34"/>
        <v>0</v>
      </c>
      <c r="HA123" s="440"/>
      <c r="HB123" s="440"/>
      <c r="HC123" s="440"/>
      <c r="HD123" s="440"/>
      <c r="HE123" s="429">
        <f t="shared" si="28"/>
        <v>99</v>
      </c>
      <c r="HF123" s="429">
        <f>SUM(GW123*Baseline!$P$24,GX123*Baseline!$P$25,GY123*Baseline!$P$26,GZ123*Baseline!$P$27,HA123*Baseline!$P$28,HB123*Baseline!$P$29,HC123*Baseline!$P$30,HD123*Baseline!$P$31,Baseline!$P$23)</f>
        <v>626.18362874044828</v>
      </c>
      <c r="HG123" s="455" t="e">
        <f t="shared" si="29"/>
        <v>#DIV/0!</v>
      </c>
      <c r="HH123" s="429" t="e">
        <f>IF(HG123&lt;=Baseline!$J$13,1,0)</f>
        <v>#DIV/0!</v>
      </c>
      <c r="HI123" s="429">
        <f t="shared" si="30"/>
        <v>392105.93690255558</v>
      </c>
      <c r="HJ123" s="429">
        <f t="shared" si="25"/>
        <v>48910903.069173105</v>
      </c>
      <c r="HK123" s="429">
        <f t="shared" si="26"/>
        <v>58061606.033611111</v>
      </c>
      <c r="HL123" s="429" t="str">
        <f>IF(HM123=Reference!$I$12,(HF123-GV123),"")</f>
        <v/>
      </c>
      <c r="HM123" s="429" t="str">
        <f>Reference!I123</f>
        <v/>
      </c>
      <c r="HN123" s="429" t="str">
        <f t="shared" si="31"/>
        <v/>
      </c>
      <c r="HO123" s="453"/>
      <c r="HP123" s="453"/>
      <c r="HQ123" s="453"/>
      <c r="HR123" s="465"/>
      <c r="HS123" s="453"/>
      <c r="HT123" s="453"/>
    </row>
    <row r="124" spans="189:228" ht="17.25" customHeight="1" x14ac:dyDescent="0.35">
      <c r="GG124" s="432"/>
      <c r="GJ124" s="429" t="str">
        <f>IF(GK124=$GJ$15,$GJ$15,IF(GJ$24=HF$4,SUM(GK$25:GK124),SUM(GL$25:GL124)))</f>
        <v>N</v>
      </c>
      <c r="GK124" s="438" t="str">
        <f>IFERROR('!!'!G124-'!!'!D124,$GJ$15)</f>
        <v>N</v>
      </c>
      <c r="GL124" s="429" t="str">
        <f t="shared" si="27"/>
        <v>N</v>
      </c>
      <c r="GM124" s="438">
        <f>IFERROR(('!!'!$D124)*('!!'!W124/('!!'!$G124)),0)</f>
        <v>0</v>
      </c>
      <c r="GN124" s="438">
        <f>IFERROR(('!!'!$D124)*('!!'!X124/('!!'!$G124)),0)</f>
        <v>0</v>
      </c>
      <c r="GO124" s="438">
        <f>IFERROR(('!!'!$D124)*('!!'!Y124/('!!'!$G124)),0)</f>
        <v>0</v>
      </c>
      <c r="GP124" s="438">
        <f>IFERROR(('!!'!$D124)*('!!'!Z123/('!!'!$G124)),0)</f>
        <v>0</v>
      </c>
      <c r="GQ124" s="438">
        <f>IFERROR(('!!'!$D124)*('!!'!Q124/('!!'!$G124)),0)</f>
        <v>0</v>
      </c>
      <c r="GR124" s="429">
        <v>1</v>
      </c>
      <c r="GS124" s="429">
        <v>2</v>
      </c>
      <c r="GT124" s="432">
        <f>Monitoring!C124</f>
        <v>0</v>
      </c>
      <c r="GU124" s="432">
        <f>Reference!$C124</f>
        <v>0</v>
      </c>
      <c r="GV124" s="429">
        <f>Reference!$D124</f>
        <v>0</v>
      </c>
      <c r="GW124" s="440">
        <f t="shared" si="34"/>
        <v>0</v>
      </c>
      <c r="GX124" s="440">
        <f t="shared" si="34"/>
        <v>0</v>
      </c>
      <c r="GY124" s="440">
        <f t="shared" si="34"/>
        <v>0</v>
      </c>
      <c r="GZ124" s="440">
        <f t="shared" si="34"/>
        <v>0</v>
      </c>
      <c r="HA124" s="440"/>
      <c r="HB124" s="440"/>
      <c r="HC124" s="440"/>
      <c r="HD124" s="440"/>
      <c r="HE124" s="429">
        <f t="shared" si="28"/>
        <v>100</v>
      </c>
      <c r="HF124" s="429">
        <f>SUM(GW124*Baseline!$P$24,GX124*Baseline!$P$25,GY124*Baseline!$P$26,GZ124*Baseline!$P$27,HA124*Baseline!$P$28,HB124*Baseline!$P$29,HC124*Baseline!$P$30,HD124*Baseline!$P$31,Baseline!$P$23)</f>
        <v>626.18362874044828</v>
      </c>
      <c r="HG124" s="455" t="e">
        <f t="shared" si="29"/>
        <v>#DIV/0!</v>
      </c>
      <c r="HH124" s="429" t="e">
        <f>IF(HG124&lt;=Baseline!$J$13,1,0)</f>
        <v>#DIV/0!</v>
      </c>
      <c r="HI124" s="429">
        <f t="shared" si="30"/>
        <v>392105.93690255558</v>
      </c>
      <c r="HJ124" s="429">
        <f t="shared" si="25"/>
        <v>48910903.069173105</v>
      </c>
      <c r="HK124" s="429">
        <f t="shared" si="26"/>
        <v>58061606.033611111</v>
      </c>
      <c r="HL124" s="429" t="str">
        <f>IF(HM124=Reference!$I$12,(HF124-GV124),"")</f>
        <v/>
      </c>
      <c r="HM124" s="429" t="str">
        <f>Reference!I124</f>
        <v/>
      </c>
      <c r="HN124" s="429" t="str">
        <f t="shared" si="31"/>
        <v/>
      </c>
      <c r="HO124" s="453"/>
      <c r="HP124" s="453"/>
      <c r="HQ124" s="453"/>
      <c r="HR124" s="465"/>
      <c r="HS124" s="453"/>
      <c r="HT124" s="453"/>
    </row>
    <row r="125" spans="189:228" ht="17.25" customHeight="1" x14ac:dyDescent="0.35">
      <c r="GG125" s="432"/>
      <c r="GJ125" s="429" t="str">
        <f>IF(GK125=$GJ$15,$GJ$15,IF(GJ$24=HF$4,SUM(GK$25:GK125),SUM(GL$25:GL125)))</f>
        <v>N</v>
      </c>
      <c r="GK125" s="438" t="str">
        <f>IFERROR('!!'!G125-'!!'!D125,$GJ$15)</f>
        <v>N</v>
      </c>
      <c r="GL125" s="429" t="str">
        <f t="shared" si="27"/>
        <v>N</v>
      </c>
      <c r="GM125" s="438">
        <f>IFERROR(('!!'!$D125)*('!!'!W125/('!!'!$G125)),0)</f>
        <v>0</v>
      </c>
      <c r="GN125" s="438">
        <f>IFERROR(('!!'!$D125)*('!!'!X125/('!!'!$G125)),0)</f>
        <v>0</v>
      </c>
      <c r="GO125" s="438">
        <f>IFERROR(('!!'!$D125)*('!!'!Y125/('!!'!$G125)),0)</f>
        <v>0</v>
      </c>
      <c r="GP125" s="438">
        <f>IFERROR(('!!'!$D125)*('!!'!Z124/('!!'!$G125)),0)</f>
        <v>0</v>
      </c>
      <c r="GQ125" s="438">
        <f>IFERROR(('!!'!$D125)*('!!'!Q125/('!!'!$G125)),0)</f>
        <v>0</v>
      </c>
      <c r="GR125" s="429">
        <v>1</v>
      </c>
      <c r="GS125" s="429">
        <v>2</v>
      </c>
      <c r="GT125" s="432">
        <f>Monitoring!C125</f>
        <v>0</v>
      </c>
      <c r="GU125" s="432">
        <f>Reference!$C125</f>
        <v>0</v>
      </c>
      <c r="GV125" s="429">
        <f>Reference!$D125</f>
        <v>0</v>
      </c>
      <c r="GW125" s="440">
        <f t="shared" ref="GW125:GZ134" si="35">IFERROR(VLOOKUP($GU125,Daten.B,GW$22,FALSE)^GW$23,0)</f>
        <v>0</v>
      </c>
      <c r="GX125" s="440">
        <f t="shared" si="35"/>
        <v>0</v>
      </c>
      <c r="GY125" s="440">
        <f t="shared" si="35"/>
        <v>0</v>
      </c>
      <c r="GZ125" s="440">
        <f t="shared" si="35"/>
        <v>0</v>
      </c>
      <c r="HA125" s="440"/>
      <c r="HB125" s="440"/>
      <c r="HC125" s="440"/>
      <c r="HD125" s="440"/>
      <c r="HE125" s="429">
        <f t="shared" si="28"/>
        <v>101</v>
      </c>
      <c r="HF125" s="429">
        <f>SUM(GW125*Baseline!$P$24,GX125*Baseline!$P$25,GY125*Baseline!$P$26,GZ125*Baseline!$P$27,HA125*Baseline!$P$28,HB125*Baseline!$P$29,HC125*Baseline!$P$30,HD125*Baseline!$P$31,Baseline!$P$23)</f>
        <v>626.18362874044828</v>
      </c>
      <c r="HG125" s="455" t="e">
        <f t="shared" si="29"/>
        <v>#DIV/0!</v>
      </c>
      <c r="HH125" s="429" t="e">
        <f>IF(HG125&lt;=Baseline!$J$13,1,0)</f>
        <v>#DIV/0!</v>
      </c>
      <c r="HI125" s="429">
        <f t="shared" si="30"/>
        <v>392105.93690255558</v>
      </c>
      <c r="HJ125" s="429">
        <f t="shared" si="25"/>
        <v>48910903.069173105</v>
      </c>
      <c r="HK125" s="429">
        <f t="shared" si="26"/>
        <v>58061606.033611111</v>
      </c>
      <c r="HL125" s="429" t="str">
        <f>IF(HM125=Reference!$I$12,(HF125-GV125),"")</f>
        <v/>
      </c>
      <c r="HM125" s="429" t="str">
        <f>Reference!I125</f>
        <v/>
      </c>
      <c r="HN125" s="429" t="str">
        <f t="shared" si="31"/>
        <v/>
      </c>
      <c r="HO125" s="453"/>
      <c r="HP125" s="453"/>
      <c r="HQ125" s="453"/>
      <c r="HR125" s="465"/>
      <c r="HS125" s="453"/>
      <c r="HT125" s="453"/>
    </row>
    <row r="126" spans="189:228" ht="17.25" customHeight="1" x14ac:dyDescent="0.35">
      <c r="GG126" s="432"/>
      <c r="GJ126" s="429" t="str">
        <f>IF(GK126=$GJ$15,$GJ$15,IF(GJ$24=HF$4,SUM(GK$25:GK126),SUM(GL$25:GL126)))</f>
        <v>N</v>
      </c>
      <c r="GK126" s="438" t="str">
        <f>IFERROR('!!'!G126-'!!'!D126,$GJ$15)</f>
        <v>N</v>
      </c>
      <c r="GL126" s="429" t="str">
        <f t="shared" si="27"/>
        <v>N</v>
      </c>
      <c r="GM126" s="438">
        <f>IFERROR(('!!'!$D126)*('!!'!W126/('!!'!$G126)),0)</f>
        <v>0</v>
      </c>
      <c r="GN126" s="438">
        <f>IFERROR(('!!'!$D126)*('!!'!X126/('!!'!$G126)),0)</f>
        <v>0</v>
      </c>
      <c r="GO126" s="438">
        <f>IFERROR(('!!'!$D126)*('!!'!Y126/('!!'!$G126)),0)</f>
        <v>0</v>
      </c>
      <c r="GP126" s="438">
        <f>IFERROR(('!!'!$D126)*('!!'!Z125/('!!'!$G126)),0)</f>
        <v>0</v>
      </c>
      <c r="GQ126" s="438">
        <f>IFERROR(('!!'!$D126)*('!!'!Q126/('!!'!$G126)),0)</f>
        <v>0</v>
      </c>
      <c r="GR126" s="429">
        <v>1</v>
      </c>
      <c r="GS126" s="429">
        <v>2</v>
      </c>
      <c r="GT126" s="432">
        <f>Monitoring!C126</f>
        <v>0</v>
      </c>
      <c r="GU126" s="432">
        <f>Reference!$C126</f>
        <v>0</v>
      </c>
      <c r="GV126" s="429">
        <f>Reference!$D126</f>
        <v>0</v>
      </c>
      <c r="GW126" s="440">
        <f t="shared" si="35"/>
        <v>0</v>
      </c>
      <c r="GX126" s="440">
        <f t="shared" si="35"/>
        <v>0</v>
      </c>
      <c r="GY126" s="440">
        <f t="shared" si="35"/>
        <v>0</v>
      </c>
      <c r="GZ126" s="440">
        <f t="shared" si="35"/>
        <v>0</v>
      </c>
      <c r="HA126" s="440"/>
      <c r="HB126" s="440"/>
      <c r="HC126" s="440"/>
      <c r="HD126" s="440"/>
      <c r="HE126" s="429">
        <f t="shared" si="28"/>
        <v>102</v>
      </c>
      <c r="HF126" s="429">
        <f>SUM(GW126*Baseline!$P$24,GX126*Baseline!$P$25,GY126*Baseline!$P$26,GZ126*Baseline!$P$27,HA126*Baseline!$P$28,HB126*Baseline!$P$29,HC126*Baseline!$P$30,HD126*Baseline!$P$31,Baseline!$P$23)</f>
        <v>626.18362874044828</v>
      </c>
      <c r="HG126" s="455" t="e">
        <f t="shared" si="29"/>
        <v>#DIV/0!</v>
      </c>
      <c r="HH126" s="429" t="e">
        <f>IF(HG126&lt;=Baseline!$J$13,1,0)</f>
        <v>#DIV/0!</v>
      </c>
      <c r="HI126" s="429">
        <f t="shared" si="30"/>
        <v>392105.93690255558</v>
      </c>
      <c r="HJ126" s="429">
        <f t="shared" si="25"/>
        <v>48910903.069173105</v>
      </c>
      <c r="HK126" s="429">
        <f t="shared" si="26"/>
        <v>58061606.033611111</v>
      </c>
      <c r="HL126" s="429" t="str">
        <f>IF(HM126=Reference!$I$12,(HF126-GV126),"")</f>
        <v/>
      </c>
      <c r="HM126" s="429" t="str">
        <f>Reference!I126</f>
        <v/>
      </c>
      <c r="HN126" s="429" t="str">
        <f t="shared" si="31"/>
        <v/>
      </c>
    </row>
    <row r="127" spans="189:228" ht="17.25" customHeight="1" x14ac:dyDescent="0.35">
      <c r="GG127" s="432"/>
      <c r="GJ127" s="429" t="str">
        <f>IF(GK127=$GJ$15,$GJ$15,IF(GJ$24=HF$4,SUM(GK$25:GK127),SUM(GL$25:GL127)))</f>
        <v>N</v>
      </c>
      <c r="GK127" s="438" t="str">
        <f>IFERROR('!!'!G127-'!!'!D127,$GJ$15)</f>
        <v>N</v>
      </c>
      <c r="GL127" s="429" t="str">
        <f t="shared" si="27"/>
        <v>N</v>
      </c>
      <c r="GM127" s="438">
        <f>IFERROR(('!!'!$D127)*('!!'!W127/('!!'!$G127)),0)</f>
        <v>0</v>
      </c>
      <c r="GN127" s="438">
        <f>IFERROR(('!!'!$D127)*('!!'!X127/('!!'!$G127)),0)</f>
        <v>0</v>
      </c>
      <c r="GO127" s="438">
        <f>IFERROR(('!!'!$D127)*('!!'!Y127/('!!'!$G127)),0)</f>
        <v>0</v>
      </c>
      <c r="GP127" s="438">
        <f>IFERROR(('!!'!$D127)*('!!'!Z126/('!!'!$G127)),0)</f>
        <v>0</v>
      </c>
      <c r="GQ127" s="438">
        <f>IFERROR(('!!'!$D127)*('!!'!Q127/('!!'!$G127)),0)</f>
        <v>0</v>
      </c>
      <c r="GR127" s="429">
        <v>1</v>
      </c>
      <c r="GS127" s="429">
        <v>2</v>
      </c>
      <c r="GT127" s="432">
        <f>Monitoring!C127</f>
        <v>0</v>
      </c>
      <c r="GU127" s="432">
        <f>Reference!$C127</f>
        <v>0</v>
      </c>
      <c r="GV127" s="429">
        <f>Reference!$D127</f>
        <v>0</v>
      </c>
      <c r="GW127" s="440">
        <f t="shared" si="35"/>
        <v>0</v>
      </c>
      <c r="GX127" s="440">
        <f t="shared" si="35"/>
        <v>0</v>
      </c>
      <c r="GY127" s="440">
        <f t="shared" si="35"/>
        <v>0</v>
      </c>
      <c r="GZ127" s="440">
        <f t="shared" si="35"/>
        <v>0</v>
      </c>
      <c r="HA127" s="440"/>
      <c r="HB127" s="440"/>
      <c r="HC127" s="440"/>
      <c r="HD127" s="440"/>
      <c r="HE127" s="429">
        <f t="shared" si="28"/>
        <v>103</v>
      </c>
      <c r="HF127" s="429">
        <f>SUM(GW127*Baseline!$P$24,GX127*Baseline!$P$25,GY127*Baseline!$P$26,GZ127*Baseline!$P$27,HA127*Baseline!$P$28,HB127*Baseline!$P$29,HC127*Baseline!$P$30,HD127*Baseline!$P$31,Baseline!$P$23)</f>
        <v>626.18362874044828</v>
      </c>
      <c r="HG127" s="455" t="e">
        <f t="shared" si="29"/>
        <v>#DIV/0!</v>
      </c>
      <c r="HH127" s="429" t="e">
        <f>IF(HG127&lt;=Baseline!$J$13,1,0)</f>
        <v>#DIV/0!</v>
      </c>
      <c r="HI127" s="429">
        <f t="shared" si="30"/>
        <v>392105.93690255558</v>
      </c>
      <c r="HJ127" s="429">
        <f t="shared" si="25"/>
        <v>48910903.069173105</v>
      </c>
      <c r="HK127" s="429">
        <f t="shared" si="26"/>
        <v>58061606.033611111</v>
      </c>
      <c r="HL127" s="429" t="str">
        <f>IF(HM127=Reference!$I$12,(HF127-GV127),"")</f>
        <v/>
      </c>
      <c r="HM127" s="429" t="str">
        <f>Reference!I127</f>
        <v/>
      </c>
      <c r="HN127" s="429" t="str">
        <f t="shared" si="31"/>
        <v/>
      </c>
    </row>
    <row r="128" spans="189:228" ht="17.25" customHeight="1" x14ac:dyDescent="0.35">
      <c r="GG128" s="432"/>
      <c r="GJ128" s="429" t="str">
        <f>IF(GK128=$GJ$15,$GJ$15,IF(GJ$24=HF$4,SUM(GK$25:GK128),SUM(GL$25:GL128)))</f>
        <v>N</v>
      </c>
      <c r="GK128" s="438" t="str">
        <f>IFERROR('!!'!G128-'!!'!D128,$GJ$15)</f>
        <v>N</v>
      </c>
      <c r="GL128" s="429" t="str">
        <f t="shared" si="27"/>
        <v>N</v>
      </c>
      <c r="GM128" s="438">
        <f>IFERROR(('!!'!$D128)*('!!'!W128/('!!'!$G128)),0)</f>
        <v>0</v>
      </c>
      <c r="GN128" s="438">
        <f>IFERROR(('!!'!$D128)*('!!'!X128/('!!'!$G128)),0)</f>
        <v>0</v>
      </c>
      <c r="GO128" s="438">
        <f>IFERROR(('!!'!$D128)*('!!'!Y128/('!!'!$G128)),0)</f>
        <v>0</v>
      </c>
      <c r="GP128" s="438">
        <f>IFERROR(('!!'!$D128)*('!!'!Z127/('!!'!$G128)),0)</f>
        <v>0</v>
      </c>
      <c r="GQ128" s="438">
        <f>IFERROR(('!!'!$D128)*('!!'!Q128/('!!'!$G128)),0)</f>
        <v>0</v>
      </c>
      <c r="GR128" s="429">
        <v>1</v>
      </c>
      <c r="GS128" s="429">
        <v>2</v>
      </c>
      <c r="GT128" s="432">
        <f>Monitoring!C128</f>
        <v>0</v>
      </c>
      <c r="GU128" s="432">
        <f>Reference!$C128</f>
        <v>0</v>
      </c>
      <c r="GV128" s="429">
        <f>Reference!$D128</f>
        <v>0</v>
      </c>
      <c r="GW128" s="440">
        <f t="shared" si="35"/>
        <v>0</v>
      </c>
      <c r="GX128" s="440">
        <f t="shared" si="35"/>
        <v>0</v>
      </c>
      <c r="GY128" s="440">
        <f t="shared" si="35"/>
        <v>0</v>
      </c>
      <c r="GZ128" s="440">
        <f t="shared" si="35"/>
        <v>0</v>
      </c>
      <c r="HA128" s="440"/>
      <c r="HB128" s="440"/>
      <c r="HC128" s="440"/>
      <c r="HD128" s="440"/>
      <c r="HE128" s="429">
        <f t="shared" si="28"/>
        <v>104</v>
      </c>
      <c r="HF128" s="429">
        <f>SUM(GW128*Baseline!$P$24,GX128*Baseline!$P$25,GY128*Baseline!$P$26,GZ128*Baseline!$P$27,HA128*Baseline!$P$28,HB128*Baseline!$P$29,HC128*Baseline!$P$30,HD128*Baseline!$P$31,Baseline!$P$23)</f>
        <v>626.18362874044828</v>
      </c>
      <c r="HG128" s="455" t="e">
        <f t="shared" si="29"/>
        <v>#DIV/0!</v>
      </c>
      <c r="HH128" s="429" t="e">
        <f>IF(HG128&lt;=Baseline!$J$13,1,0)</f>
        <v>#DIV/0!</v>
      </c>
      <c r="HI128" s="429">
        <f t="shared" si="30"/>
        <v>392105.93690255558</v>
      </c>
      <c r="HJ128" s="429">
        <f t="shared" si="25"/>
        <v>48910903.069173105</v>
      </c>
      <c r="HK128" s="429">
        <f t="shared" si="26"/>
        <v>58061606.033611111</v>
      </c>
      <c r="HL128" s="429" t="str">
        <f>IF(HM128=Reference!$I$12,(HF128-GV128),"")</f>
        <v/>
      </c>
      <c r="HM128" s="429" t="str">
        <f>Reference!I128</f>
        <v/>
      </c>
      <c r="HN128" s="429" t="str">
        <f t="shared" si="31"/>
        <v/>
      </c>
    </row>
    <row r="129" spans="189:222" ht="17.25" customHeight="1" x14ac:dyDescent="0.35">
      <c r="GG129" s="432"/>
      <c r="GJ129" s="429" t="str">
        <f>IF(GK129=$GJ$15,$GJ$15,IF(GJ$24=HF$4,SUM(GK$25:GK129),SUM(GL$25:GL129)))</f>
        <v>N</v>
      </c>
      <c r="GK129" s="438" t="str">
        <f>IFERROR('!!'!G129-'!!'!D129,$GJ$15)</f>
        <v>N</v>
      </c>
      <c r="GL129" s="429" t="str">
        <f t="shared" si="27"/>
        <v>N</v>
      </c>
      <c r="GM129" s="438">
        <f>IFERROR(('!!'!$D129)*('!!'!W129/('!!'!$G129)),0)</f>
        <v>0</v>
      </c>
      <c r="GN129" s="438">
        <f>IFERROR(('!!'!$D129)*('!!'!X129/('!!'!$G129)),0)</f>
        <v>0</v>
      </c>
      <c r="GO129" s="438">
        <f>IFERROR(('!!'!$D129)*('!!'!Y129/('!!'!$G129)),0)</f>
        <v>0</v>
      </c>
      <c r="GP129" s="438">
        <f>IFERROR(('!!'!$D129)*('!!'!Z128/('!!'!$G129)),0)</f>
        <v>0</v>
      </c>
      <c r="GQ129" s="438">
        <f>IFERROR(('!!'!$D129)*('!!'!Q129/('!!'!$G129)),0)</f>
        <v>0</v>
      </c>
      <c r="GR129" s="429">
        <v>1</v>
      </c>
      <c r="GS129" s="429">
        <v>2</v>
      </c>
      <c r="GT129" s="432">
        <f>Monitoring!C129</f>
        <v>0</v>
      </c>
      <c r="GU129" s="432">
        <f>Reference!$C129</f>
        <v>0</v>
      </c>
      <c r="GV129" s="429">
        <f>Reference!$D129</f>
        <v>0</v>
      </c>
      <c r="GW129" s="440">
        <f t="shared" si="35"/>
        <v>0</v>
      </c>
      <c r="GX129" s="440">
        <f t="shared" si="35"/>
        <v>0</v>
      </c>
      <c r="GY129" s="440">
        <f t="shared" si="35"/>
        <v>0</v>
      </c>
      <c r="GZ129" s="440">
        <f t="shared" si="35"/>
        <v>0</v>
      </c>
      <c r="HA129" s="440"/>
      <c r="HB129" s="440"/>
      <c r="HC129" s="440"/>
      <c r="HD129" s="440"/>
      <c r="HE129" s="429">
        <f t="shared" si="28"/>
        <v>105</v>
      </c>
      <c r="HF129" s="429">
        <f>SUM(GW129*Baseline!$P$24,GX129*Baseline!$P$25,GY129*Baseline!$P$26,GZ129*Baseline!$P$27,HA129*Baseline!$P$28,HB129*Baseline!$P$29,HC129*Baseline!$P$30,HD129*Baseline!$P$31,Baseline!$P$23)</f>
        <v>626.18362874044828</v>
      </c>
      <c r="HG129" s="455" t="e">
        <f t="shared" si="29"/>
        <v>#DIV/0!</v>
      </c>
      <c r="HH129" s="429" t="e">
        <f>IF(HG129&lt;=Baseline!$J$13,1,0)</f>
        <v>#DIV/0!</v>
      </c>
      <c r="HI129" s="429">
        <f t="shared" si="30"/>
        <v>392105.93690255558</v>
      </c>
      <c r="HJ129" s="429">
        <f t="shared" si="25"/>
        <v>48910903.069173105</v>
      </c>
      <c r="HK129" s="429">
        <f t="shared" si="26"/>
        <v>58061606.033611111</v>
      </c>
      <c r="HL129" s="429" t="str">
        <f>IF(HM129=Reference!$I$12,(HF129-GV129),"")</f>
        <v/>
      </c>
      <c r="HM129" s="429" t="str">
        <f>Reference!I129</f>
        <v/>
      </c>
      <c r="HN129" s="429" t="str">
        <f t="shared" si="31"/>
        <v/>
      </c>
    </row>
    <row r="130" spans="189:222" ht="17.25" customHeight="1" x14ac:dyDescent="0.35">
      <c r="GG130" s="432"/>
      <c r="GJ130" s="429" t="str">
        <f>IF(GK130=$GJ$15,$GJ$15,IF(GJ$24=HF$4,SUM(GK$25:GK130),SUM(GL$25:GL130)))</f>
        <v>N</v>
      </c>
      <c r="GK130" s="438" t="str">
        <f>IFERROR('!!'!G130-'!!'!D130,$GJ$15)</f>
        <v>N</v>
      </c>
      <c r="GL130" s="429" t="str">
        <f t="shared" si="27"/>
        <v>N</v>
      </c>
      <c r="GM130" s="438">
        <f>IFERROR(('!!'!$D130)*('!!'!W130/('!!'!$G130)),0)</f>
        <v>0</v>
      </c>
      <c r="GN130" s="438">
        <f>IFERROR(('!!'!$D130)*('!!'!X130/('!!'!$G130)),0)</f>
        <v>0</v>
      </c>
      <c r="GO130" s="438">
        <f>IFERROR(('!!'!$D130)*('!!'!Y130/('!!'!$G130)),0)</f>
        <v>0</v>
      </c>
      <c r="GP130" s="438">
        <f>IFERROR(('!!'!$D130)*('!!'!Z129/('!!'!$G130)),0)</f>
        <v>0</v>
      </c>
      <c r="GQ130" s="438">
        <f>IFERROR(('!!'!$D130)*('!!'!Q130/('!!'!$G130)),0)</f>
        <v>0</v>
      </c>
      <c r="GR130" s="429">
        <v>1</v>
      </c>
      <c r="GS130" s="429">
        <v>2</v>
      </c>
      <c r="GT130" s="432">
        <f>Monitoring!C130</f>
        <v>0</v>
      </c>
      <c r="GU130" s="432">
        <f>Reference!$C130</f>
        <v>0</v>
      </c>
      <c r="GV130" s="429">
        <f>Reference!$D130</f>
        <v>0</v>
      </c>
      <c r="GW130" s="440">
        <f t="shared" si="35"/>
        <v>0</v>
      </c>
      <c r="GX130" s="440">
        <f t="shared" si="35"/>
        <v>0</v>
      </c>
      <c r="GY130" s="440">
        <f t="shared" si="35"/>
        <v>0</v>
      </c>
      <c r="GZ130" s="440">
        <f t="shared" si="35"/>
        <v>0</v>
      </c>
      <c r="HA130" s="440"/>
      <c r="HB130" s="440"/>
      <c r="HC130" s="440"/>
      <c r="HD130" s="440"/>
      <c r="HE130" s="429">
        <f t="shared" si="28"/>
        <v>106</v>
      </c>
      <c r="HF130" s="429">
        <f>SUM(GW130*Baseline!$P$24,GX130*Baseline!$P$25,GY130*Baseline!$P$26,GZ130*Baseline!$P$27,HA130*Baseline!$P$28,HB130*Baseline!$P$29,HC130*Baseline!$P$30,HD130*Baseline!$P$31,Baseline!$P$23)</f>
        <v>626.18362874044828</v>
      </c>
      <c r="HG130" s="455" t="e">
        <f t="shared" si="29"/>
        <v>#DIV/0!</v>
      </c>
      <c r="HH130" s="429" t="e">
        <f>IF(HG130&lt;=Baseline!$J$13,1,0)</f>
        <v>#DIV/0!</v>
      </c>
      <c r="HI130" s="429">
        <f t="shared" si="30"/>
        <v>392105.93690255558</v>
      </c>
      <c r="HJ130" s="429">
        <f t="shared" si="25"/>
        <v>48910903.069173105</v>
      </c>
      <c r="HK130" s="429">
        <f t="shared" si="26"/>
        <v>58061606.033611111</v>
      </c>
      <c r="HL130" s="429" t="str">
        <f>IF(HM130=Reference!$I$12,(HF130-GV130),"")</f>
        <v/>
      </c>
      <c r="HM130" s="429" t="str">
        <f>Reference!I130</f>
        <v/>
      </c>
      <c r="HN130" s="429" t="str">
        <f t="shared" si="31"/>
        <v/>
      </c>
    </row>
    <row r="131" spans="189:222" ht="17.25" customHeight="1" x14ac:dyDescent="0.35">
      <c r="GG131" s="432"/>
      <c r="GJ131" s="429" t="str">
        <f>IF(GK131=$GJ$15,$GJ$15,IF(GJ$24=HF$4,SUM(GK$25:GK131),SUM(GL$25:GL131)))</f>
        <v>N</v>
      </c>
      <c r="GK131" s="438" t="str">
        <f>IFERROR('!!'!G131-'!!'!D131,$GJ$15)</f>
        <v>N</v>
      </c>
      <c r="GL131" s="429" t="str">
        <f t="shared" si="27"/>
        <v>N</v>
      </c>
      <c r="GM131" s="438">
        <f>IFERROR(('!!'!$D131)*('!!'!W131/('!!'!$G131)),0)</f>
        <v>0</v>
      </c>
      <c r="GN131" s="438">
        <f>IFERROR(('!!'!$D131)*('!!'!X131/('!!'!$G131)),0)</f>
        <v>0</v>
      </c>
      <c r="GO131" s="438">
        <f>IFERROR(('!!'!$D131)*('!!'!Y131/('!!'!$G131)),0)</f>
        <v>0</v>
      </c>
      <c r="GP131" s="438">
        <f>IFERROR(('!!'!$D131)*('!!'!Z130/('!!'!$G131)),0)</f>
        <v>0</v>
      </c>
      <c r="GQ131" s="438">
        <f>IFERROR(('!!'!$D131)*('!!'!Q131/('!!'!$G131)),0)</f>
        <v>0</v>
      </c>
      <c r="GR131" s="429">
        <v>1</v>
      </c>
      <c r="GS131" s="429">
        <v>2</v>
      </c>
      <c r="GT131" s="432">
        <f>Monitoring!C131</f>
        <v>0</v>
      </c>
      <c r="GU131" s="432">
        <f>Reference!$C131</f>
        <v>0</v>
      </c>
      <c r="GV131" s="429">
        <f>Reference!$D131</f>
        <v>0</v>
      </c>
      <c r="GW131" s="440">
        <f t="shared" si="35"/>
        <v>0</v>
      </c>
      <c r="GX131" s="440">
        <f t="shared" si="35"/>
        <v>0</v>
      </c>
      <c r="GY131" s="440">
        <f t="shared" si="35"/>
        <v>0</v>
      </c>
      <c r="GZ131" s="440">
        <f t="shared" si="35"/>
        <v>0</v>
      </c>
      <c r="HA131" s="440"/>
      <c r="HB131" s="440"/>
      <c r="HC131" s="440"/>
      <c r="HD131" s="440"/>
      <c r="HE131" s="429">
        <f t="shared" si="28"/>
        <v>107</v>
      </c>
      <c r="HF131" s="429">
        <f>SUM(GW131*Baseline!$P$24,GX131*Baseline!$P$25,GY131*Baseline!$P$26,GZ131*Baseline!$P$27,HA131*Baseline!$P$28,HB131*Baseline!$P$29,HC131*Baseline!$P$30,HD131*Baseline!$P$31,Baseline!$P$23)</f>
        <v>626.18362874044828</v>
      </c>
      <c r="HG131" s="455" t="e">
        <f t="shared" si="29"/>
        <v>#DIV/0!</v>
      </c>
      <c r="HH131" s="429" t="e">
        <f>IF(HG131&lt;=Baseline!$J$13,1,0)</f>
        <v>#DIV/0!</v>
      </c>
      <c r="HI131" s="429">
        <f t="shared" si="30"/>
        <v>392105.93690255558</v>
      </c>
      <c r="HJ131" s="429">
        <f t="shared" si="25"/>
        <v>48910903.069173105</v>
      </c>
      <c r="HK131" s="429">
        <f t="shared" si="26"/>
        <v>58061606.033611111</v>
      </c>
      <c r="HL131" s="429" t="str">
        <f>IF(HM131=Reference!$I$12,(HF131-GV131),"")</f>
        <v/>
      </c>
      <c r="HM131" s="429" t="str">
        <f>Reference!I131</f>
        <v/>
      </c>
      <c r="HN131" s="429" t="str">
        <f t="shared" si="31"/>
        <v/>
      </c>
    </row>
    <row r="132" spans="189:222" ht="17.25" customHeight="1" x14ac:dyDescent="0.35">
      <c r="GG132" s="432"/>
      <c r="GJ132" s="429" t="str">
        <f>IF(GK132=$GJ$15,$GJ$15,IF(GJ$24=HF$4,SUM(GK$25:GK132),SUM(GL$25:GL132)))</f>
        <v>N</v>
      </c>
      <c r="GK132" s="438" t="str">
        <f>IFERROR('!!'!G132-'!!'!D132,$GJ$15)</f>
        <v>N</v>
      </c>
      <c r="GL132" s="429" t="str">
        <f t="shared" si="27"/>
        <v>N</v>
      </c>
      <c r="GM132" s="438">
        <f>IFERROR(('!!'!$D132)*('!!'!W132/('!!'!$G132)),0)</f>
        <v>0</v>
      </c>
      <c r="GN132" s="438">
        <f>IFERROR(('!!'!$D132)*('!!'!X132/('!!'!$G132)),0)</f>
        <v>0</v>
      </c>
      <c r="GO132" s="438">
        <f>IFERROR(('!!'!$D132)*('!!'!Y132/('!!'!$G132)),0)</f>
        <v>0</v>
      </c>
      <c r="GP132" s="438">
        <f>IFERROR(('!!'!$D132)*('!!'!Z131/('!!'!$G132)),0)</f>
        <v>0</v>
      </c>
      <c r="GQ132" s="438">
        <f>IFERROR(('!!'!$D132)*('!!'!Q132/('!!'!$G132)),0)</f>
        <v>0</v>
      </c>
      <c r="GR132" s="429">
        <v>1</v>
      </c>
      <c r="GS132" s="429">
        <v>2</v>
      </c>
      <c r="GT132" s="432">
        <f>Monitoring!C132</f>
        <v>0</v>
      </c>
      <c r="GU132" s="432">
        <f>Reference!$C132</f>
        <v>0</v>
      </c>
      <c r="GV132" s="429">
        <f>Reference!$D132</f>
        <v>0</v>
      </c>
      <c r="GW132" s="440">
        <f t="shared" si="35"/>
        <v>0</v>
      </c>
      <c r="GX132" s="440">
        <f t="shared" si="35"/>
        <v>0</v>
      </c>
      <c r="GY132" s="440">
        <f t="shared" si="35"/>
        <v>0</v>
      </c>
      <c r="GZ132" s="440">
        <f t="shared" si="35"/>
        <v>0</v>
      </c>
      <c r="HA132" s="440"/>
      <c r="HB132" s="440"/>
      <c r="HC132" s="440"/>
      <c r="HD132" s="440"/>
      <c r="HE132" s="429">
        <f t="shared" si="28"/>
        <v>108</v>
      </c>
      <c r="HF132" s="429">
        <f>SUM(GW132*Baseline!$P$24,GX132*Baseline!$P$25,GY132*Baseline!$P$26,GZ132*Baseline!$P$27,HA132*Baseline!$P$28,HB132*Baseline!$P$29,HC132*Baseline!$P$30,HD132*Baseline!$P$31,Baseline!$P$23)</f>
        <v>626.18362874044828</v>
      </c>
      <c r="HG132" s="455" t="e">
        <f t="shared" si="29"/>
        <v>#DIV/0!</v>
      </c>
      <c r="HH132" s="429" t="e">
        <f>IF(HG132&lt;=Baseline!$J$13,1,0)</f>
        <v>#DIV/0!</v>
      </c>
      <c r="HI132" s="429">
        <f t="shared" si="30"/>
        <v>392105.93690255558</v>
      </c>
      <c r="HJ132" s="429">
        <f t="shared" si="25"/>
        <v>48910903.069173105</v>
      </c>
      <c r="HK132" s="429">
        <f t="shared" si="26"/>
        <v>58061606.033611111</v>
      </c>
      <c r="HL132" s="429" t="str">
        <f>IF(HM132=Reference!$I$12,(HF132-GV132),"")</f>
        <v/>
      </c>
      <c r="HM132" s="429" t="str">
        <f>Reference!I132</f>
        <v/>
      </c>
      <c r="HN132" s="429" t="str">
        <f t="shared" si="31"/>
        <v/>
      </c>
    </row>
    <row r="133" spans="189:222" ht="17.25" customHeight="1" x14ac:dyDescent="0.35">
      <c r="GG133" s="432"/>
      <c r="GJ133" s="429" t="str">
        <f>IF(GK133=$GJ$15,$GJ$15,IF(GJ$24=HF$4,SUM(GK$25:GK133),SUM(GL$25:GL133)))</f>
        <v>N</v>
      </c>
      <c r="GK133" s="438" t="str">
        <f>IFERROR('!!'!G133-'!!'!D133,$GJ$15)</f>
        <v>N</v>
      </c>
      <c r="GL133" s="429" t="str">
        <f t="shared" si="27"/>
        <v>N</v>
      </c>
      <c r="GM133" s="438">
        <f>IFERROR(('!!'!$D133)*('!!'!W133/('!!'!$G133)),0)</f>
        <v>0</v>
      </c>
      <c r="GN133" s="438">
        <f>IFERROR(('!!'!$D133)*('!!'!X133/('!!'!$G133)),0)</f>
        <v>0</v>
      </c>
      <c r="GO133" s="438">
        <f>IFERROR(('!!'!$D133)*('!!'!Y133/('!!'!$G133)),0)</f>
        <v>0</v>
      </c>
      <c r="GP133" s="438">
        <f>IFERROR(('!!'!$D133)*('!!'!Z132/('!!'!$G133)),0)</f>
        <v>0</v>
      </c>
      <c r="GQ133" s="438">
        <f>IFERROR(('!!'!$D133)*('!!'!Q133/('!!'!$G133)),0)</f>
        <v>0</v>
      </c>
      <c r="GR133" s="429">
        <v>1</v>
      </c>
      <c r="GS133" s="429">
        <v>2</v>
      </c>
      <c r="GT133" s="432">
        <f>Monitoring!C133</f>
        <v>0</v>
      </c>
      <c r="GU133" s="432">
        <f>Reference!$C133</f>
        <v>0</v>
      </c>
      <c r="GV133" s="429">
        <f>Reference!$D133</f>
        <v>0</v>
      </c>
      <c r="GW133" s="440">
        <f t="shared" si="35"/>
        <v>0</v>
      </c>
      <c r="GX133" s="440">
        <f t="shared" si="35"/>
        <v>0</v>
      </c>
      <c r="GY133" s="440">
        <f t="shared" si="35"/>
        <v>0</v>
      </c>
      <c r="GZ133" s="440">
        <f t="shared" si="35"/>
        <v>0</v>
      </c>
      <c r="HA133" s="440"/>
      <c r="HB133" s="440"/>
      <c r="HC133" s="440"/>
      <c r="HD133" s="440"/>
      <c r="HE133" s="429">
        <f t="shared" si="28"/>
        <v>109</v>
      </c>
      <c r="HF133" s="429">
        <f>SUM(GW133*Baseline!$P$24,GX133*Baseline!$P$25,GY133*Baseline!$P$26,GZ133*Baseline!$P$27,HA133*Baseline!$P$28,HB133*Baseline!$P$29,HC133*Baseline!$P$30,HD133*Baseline!$P$31,Baseline!$P$23)</f>
        <v>626.18362874044828</v>
      </c>
      <c r="HG133" s="455" t="e">
        <f t="shared" si="29"/>
        <v>#DIV/0!</v>
      </c>
      <c r="HH133" s="429" t="e">
        <f>IF(HG133&lt;=Baseline!$J$13,1,0)</f>
        <v>#DIV/0!</v>
      </c>
      <c r="HI133" s="429">
        <f t="shared" si="30"/>
        <v>392105.93690255558</v>
      </c>
      <c r="HJ133" s="429">
        <f t="shared" si="25"/>
        <v>48910903.069173105</v>
      </c>
      <c r="HK133" s="429">
        <f t="shared" si="26"/>
        <v>58061606.033611111</v>
      </c>
      <c r="HL133" s="429" t="str">
        <f>IF(HM133=Reference!$I$12,(HF133-GV133),"")</f>
        <v/>
      </c>
      <c r="HM133" s="429" t="str">
        <f>Reference!I133</f>
        <v/>
      </c>
      <c r="HN133" s="429" t="str">
        <f t="shared" si="31"/>
        <v/>
      </c>
    </row>
    <row r="134" spans="189:222" ht="17.25" customHeight="1" x14ac:dyDescent="0.35">
      <c r="GG134" s="432"/>
      <c r="GJ134" s="429" t="str">
        <f>IF(GK134=$GJ$15,$GJ$15,IF(GJ$24=HF$4,SUM(GK$25:GK134),SUM(GL$25:GL134)))</f>
        <v>N</v>
      </c>
      <c r="GK134" s="438" t="str">
        <f>IFERROR('!!'!G134-'!!'!D134,$GJ$15)</f>
        <v>N</v>
      </c>
      <c r="GL134" s="429" t="str">
        <f t="shared" si="27"/>
        <v>N</v>
      </c>
      <c r="GM134" s="438">
        <f>IFERROR(('!!'!$D134)*('!!'!W134/('!!'!$G134)),0)</f>
        <v>0</v>
      </c>
      <c r="GN134" s="438">
        <f>IFERROR(('!!'!$D134)*('!!'!X134/('!!'!$G134)),0)</f>
        <v>0</v>
      </c>
      <c r="GO134" s="438">
        <f>IFERROR(('!!'!$D134)*('!!'!Y134/('!!'!$G134)),0)</f>
        <v>0</v>
      </c>
      <c r="GP134" s="438">
        <f>IFERROR(('!!'!$D134)*('!!'!Z133/('!!'!$G134)),0)</f>
        <v>0</v>
      </c>
      <c r="GQ134" s="438">
        <f>IFERROR(('!!'!$D134)*('!!'!Q134/('!!'!$G134)),0)</f>
        <v>0</v>
      </c>
      <c r="GR134" s="429">
        <v>1</v>
      </c>
      <c r="GS134" s="429">
        <v>2</v>
      </c>
      <c r="GT134" s="432">
        <f>Monitoring!C134</f>
        <v>0</v>
      </c>
      <c r="GU134" s="432">
        <f>Reference!$C134</f>
        <v>0</v>
      </c>
      <c r="GV134" s="429">
        <f>Reference!$D134</f>
        <v>0</v>
      </c>
      <c r="GW134" s="440">
        <f t="shared" si="35"/>
        <v>0</v>
      </c>
      <c r="GX134" s="440">
        <f t="shared" si="35"/>
        <v>0</v>
      </c>
      <c r="GY134" s="440">
        <f t="shared" si="35"/>
        <v>0</v>
      </c>
      <c r="GZ134" s="440">
        <f t="shared" si="35"/>
        <v>0</v>
      </c>
      <c r="HA134" s="440"/>
      <c r="HB134" s="440"/>
      <c r="HC134" s="440"/>
      <c r="HD134" s="440"/>
      <c r="HE134" s="429">
        <f t="shared" si="28"/>
        <v>110</v>
      </c>
      <c r="HF134" s="429">
        <f>SUM(GW134*Baseline!$P$24,GX134*Baseline!$P$25,GY134*Baseline!$P$26,GZ134*Baseline!$P$27,HA134*Baseline!$P$28,HB134*Baseline!$P$29,HC134*Baseline!$P$30,HD134*Baseline!$P$31,Baseline!$P$23)</f>
        <v>626.18362874044828</v>
      </c>
      <c r="HG134" s="455" t="e">
        <f t="shared" si="29"/>
        <v>#DIV/0!</v>
      </c>
      <c r="HH134" s="429" t="e">
        <f>IF(HG134&lt;=Baseline!$J$13,1,0)</f>
        <v>#DIV/0!</v>
      </c>
      <c r="HI134" s="429">
        <f t="shared" si="30"/>
        <v>392105.93690255558</v>
      </c>
      <c r="HJ134" s="429">
        <f t="shared" si="25"/>
        <v>48910903.069173105</v>
      </c>
      <c r="HK134" s="429">
        <f t="shared" si="26"/>
        <v>58061606.033611111</v>
      </c>
      <c r="HL134" s="429" t="str">
        <f>IF(HM134=Reference!$I$12,(HF134-GV134),"")</f>
        <v/>
      </c>
      <c r="HM134" s="429" t="str">
        <f>Reference!I134</f>
        <v/>
      </c>
      <c r="HN134" s="429" t="str">
        <f t="shared" si="31"/>
        <v/>
      </c>
    </row>
    <row r="135" spans="189:222" ht="17.25" customHeight="1" x14ac:dyDescent="0.35">
      <c r="GG135" s="432"/>
      <c r="GJ135" s="429" t="str">
        <f>IF(GK135=$GJ$15,$GJ$15,IF(GJ$24=HF$4,SUM(GK$25:GK135),SUM(GL$25:GL135)))</f>
        <v>N</v>
      </c>
      <c r="GK135" s="438" t="str">
        <f>IFERROR('!!'!G135-'!!'!D135,$GJ$15)</f>
        <v>N</v>
      </c>
      <c r="GL135" s="429" t="str">
        <f t="shared" si="27"/>
        <v>N</v>
      </c>
      <c r="GM135" s="438">
        <f>IFERROR(('!!'!$D135)*('!!'!W135/('!!'!$G135)),0)</f>
        <v>0</v>
      </c>
      <c r="GN135" s="438">
        <f>IFERROR(('!!'!$D135)*('!!'!X135/('!!'!$G135)),0)</f>
        <v>0</v>
      </c>
      <c r="GO135" s="438">
        <f>IFERROR(('!!'!$D135)*('!!'!Y135/('!!'!$G135)),0)</f>
        <v>0</v>
      </c>
      <c r="GP135" s="438">
        <f>IFERROR(('!!'!$D135)*('!!'!Z134/('!!'!$G135)),0)</f>
        <v>0</v>
      </c>
      <c r="GQ135" s="438">
        <f>IFERROR(('!!'!$D135)*('!!'!Q135/('!!'!$G135)),0)</f>
        <v>0</v>
      </c>
      <c r="GR135" s="429">
        <v>1</v>
      </c>
      <c r="GS135" s="429">
        <v>2</v>
      </c>
      <c r="GT135" s="432">
        <f>Monitoring!C135</f>
        <v>0</v>
      </c>
      <c r="GU135" s="432">
        <f>Reference!$C135</f>
        <v>0</v>
      </c>
      <c r="GV135" s="429">
        <f>Reference!$D135</f>
        <v>0</v>
      </c>
      <c r="GW135" s="440">
        <f t="shared" ref="GW135:GZ144" si="36">IFERROR(VLOOKUP($GU135,Daten.B,GW$22,FALSE)^GW$23,0)</f>
        <v>0</v>
      </c>
      <c r="GX135" s="440">
        <f t="shared" si="36"/>
        <v>0</v>
      </c>
      <c r="GY135" s="440">
        <f t="shared" si="36"/>
        <v>0</v>
      </c>
      <c r="GZ135" s="440">
        <f t="shared" si="36"/>
        <v>0</v>
      </c>
      <c r="HA135" s="440"/>
      <c r="HB135" s="440"/>
      <c r="HC135" s="440"/>
      <c r="HD135" s="440"/>
      <c r="HE135" s="429">
        <f t="shared" si="28"/>
        <v>111</v>
      </c>
      <c r="HF135" s="429">
        <f>SUM(GW135*Baseline!$P$24,GX135*Baseline!$P$25,GY135*Baseline!$P$26,GZ135*Baseline!$P$27,HA135*Baseline!$P$28,HB135*Baseline!$P$29,HC135*Baseline!$P$30,HD135*Baseline!$P$31,Baseline!$P$23)</f>
        <v>626.18362874044828</v>
      </c>
      <c r="HG135" s="455" t="e">
        <f t="shared" si="29"/>
        <v>#DIV/0!</v>
      </c>
      <c r="HH135" s="429" t="e">
        <f>IF(HG135&lt;=Baseline!$J$13,1,0)</f>
        <v>#DIV/0!</v>
      </c>
      <c r="HI135" s="429">
        <f t="shared" si="30"/>
        <v>392105.93690255558</v>
      </c>
      <c r="HJ135" s="429">
        <f t="shared" si="25"/>
        <v>48910903.069173105</v>
      </c>
      <c r="HK135" s="429">
        <f t="shared" si="26"/>
        <v>58061606.033611111</v>
      </c>
      <c r="HL135" s="429" t="str">
        <f>IF(HM135=Reference!$I$12,(HF135-GV135),"")</f>
        <v/>
      </c>
      <c r="HM135" s="429" t="str">
        <f>Reference!I135</f>
        <v/>
      </c>
      <c r="HN135" s="429" t="str">
        <f t="shared" si="31"/>
        <v/>
      </c>
    </row>
    <row r="136" spans="189:222" ht="17.25" customHeight="1" x14ac:dyDescent="0.35">
      <c r="GG136" s="432"/>
      <c r="GJ136" s="429" t="str">
        <f>IF(GK136=$GJ$15,$GJ$15,IF(GJ$24=HF$4,SUM(GK$25:GK136),SUM(GL$25:GL136)))</f>
        <v>N</v>
      </c>
      <c r="GK136" s="438" t="str">
        <f>IFERROR('!!'!G136-'!!'!D136,$GJ$15)</f>
        <v>N</v>
      </c>
      <c r="GL136" s="429" t="str">
        <f t="shared" si="27"/>
        <v>N</v>
      </c>
      <c r="GM136" s="438">
        <f>IFERROR(('!!'!$D136)*('!!'!W136/('!!'!$G136)),0)</f>
        <v>0</v>
      </c>
      <c r="GN136" s="438">
        <f>IFERROR(('!!'!$D136)*('!!'!X136/('!!'!$G136)),0)</f>
        <v>0</v>
      </c>
      <c r="GO136" s="438">
        <f>IFERROR(('!!'!$D136)*('!!'!Y136/('!!'!$G136)),0)</f>
        <v>0</v>
      </c>
      <c r="GP136" s="438">
        <f>IFERROR(('!!'!$D136)*('!!'!Z135/('!!'!$G136)),0)</f>
        <v>0</v>
      </c>
      <c r="GQ136" s="438">
        <f>IFERROR(('!!'!$D136)*('!!'!Q136/('!!'!$G136)),0)</f>
        <v>0</v>
      </c>
      <c r="GR136" s="429">
        <v>1</v>
      </c>
      <c r="GS136" s="429">
        <v>2</v>
      </c>
      <c r="GT136" s="432">
        <f>Monitoring!C136</f>
        <v>0</v>
      </c>
      <c r="GU136" s="432">
        <f>Reference!$C136</f>
        <v>0</v>
      </c>
      <c r="GV136" s="429">
        <f>Reference!$D136</f>
        <v>0</v>
      </c>
      <c r="GW136" s="440">
        <f t="shared" si="36"/>
        <v>0</v>
      </c>
      <c r="GX136" s="440">
        <f t="shared" si="36"/>
        <v>0</v>
      </c>
      <c r="GY136" s="440">
        <f t="shared" si="36"/>
        <v>0</v>
      </c>
      <c r="GZ136" s="440">
        <f t="shared" si="36"/>
        <v>0</v>
      </c>
      <c r="HA136" s="440"/>
      <c r="HB136" s="440"/>
      <c r="HC136" s="440"/>
      <c r="HD136" s="440"/>
      <c r="HE136" s="429">
        <f t="shared" si="28"/>
        <v>112</v>
      </c>
      <c r="HF136" s="429">
        <f>SUM(GW136*Baseline!$P$24,GX136*Baseline!$P$25,GY136*Baseline!$P$26,GZ136*Baseline!$P$27,HA136*Baseline!$P$28,HB136*Baseline!$P$29,HC136*Baseline!$P$30,HD136*Baseline!$P$31,Baseline!$P$23)</f>
        <v>626.18362874044828</v>
      </c>
      <c r="HG136" s="455" t="e">
        <f t="shared" si="29"/>
        <v>#DIV/0!</v>
      </c>
      <c r="HH136" s="429" t="e">
        <f>IF(HG136&lt;=Baseline!$J$13,1,0)</f>
        <v>#DIV/0!</v>
      </c>
      <c r="HI136" s="429">
        <f t="shared" si="30"/>
        <v>392105.93690255558</v>
      </c>
      <c r="HJ136" s="429">
        <f t="shared" si="25"/>
        <v>48910903.069173105</v>
      </c>
      <c r="HK136" s="429">
        <f t="shared" si="26"/>
        <v>58061606.033611111</v>
      </c>
      <c r="HL136" s="429" t="str">
        <f>IF(HM136=Reference!$I$12,(HF136-GV136),"")</f>
        <v/>
      </c>
      <c r="HM136" s="429" t="str">
        <f>Reference!I136</f>
        <v/>
      </c>
      <c r="HN136" s="429" t="str">
        <f t="shared" si="31"/>
        <v/>
      </c>
    </row>
    <row r="137" spans="189:222" ht="17.25" customHeight="1" x14ac:dyDescent="0.35">
      <c r="GG137" s="432"/>
      <c r="GJ137" s="429" t="str">
        <f>IF(GK137=$GJ$15,$GJ$15,IF(GJ$24=HF$4,SUM(GK$25:GK137),SUM(GL$25:GL137)))</f>
        <v>N</v>
      </c>
      <c r="GK137" s="438" t="str">
        <f>IFERROR('!!'!G137-'!!'!D137,$GJ$15)</f>
        <v>N</v>
      </c>
      <c r="GL137" s="429" t="str">
        <f t="shared" si="27"/>
        <v>N</v>
      </c>
      <c r="GM137" s="438">
        <f>IFERROR(('!!'!$D137)*('!!'!W137/('!!'!$G137)),0)</f>
        <v>0</v>
      </c>
      <c r="GN137" s="438">
        <f>IFERROR(('!!'!$D137)*('!!'!X137/('!!'!$G137)),0)</f>
        <v>0</v>
      </c>
      <c r="GO137" s="438">
        <f>IFERROR(('!!'!$D137)*('!!'!Y137/('!!'!$G137)),0)</f>
        <v>0</v>
      </c>
      <c r="GP137" s="438">
        <f>IFERROR(('!!'!$D137)*('!!'!Z136/('!!'!$G137)),0)</f>
        <v>0</v>
      </c>
      <c r="GQ137" s="438">
        <f>IFERROR(('!!'!$D137)*('!!'!Q137/('!!'!$G137)),0)</f>
        <v>0</v>
      </c>
      <c r="GR137" s="429">
        <v>1</v>
      </c>
      <c r="GS137" s="429">
        <v>2</v>
      </c>
      <c r="GT137" s="432">
        <f>Monitoring!C137</f>
        <v>0</v>
      </c>
      <c r="GU137" s="432">
        <f>Reference!$C137</f>
        <v>0</v>
      </c>
      <c r="GV137" s="429">
        <f>Reference!$D137</f>
        <v>0</v>
      </c>
      <c r="GW137" s="440">
        <f t="shared" si="36"/>
        <v>0</v>
      </c>
      <c r="GX137" s="440">
        <f t="shared" si="36"/>
        <v>0</v>
      </c>
      <c r="GY137" s="440">
        <f t="shared" si="36"/>
        <v>0</v>
      </c>
      <c r="GZ137" s="440">
        <f t="shared" si="36"/>
        <v>0</v>
      </c>
      <c r="HA137" s="440"/>
      <c r="HB137" s="440"/>
      <c r="HC137" s="440"/>
      <c r="HD137" s="440"/>
      <c r="HE137" s="429">
        <f t="shared" si="28"/>
        <v>113</v>
      </c>
      <c r="HF137" s="429">
        <f>SUM(GW137*Baseline!$P$24,GX137*Baseline!$P$25,GY137*Baseline!$P$26,GZ137*Baseline!$P$27,HA137*Baseline!$P$28,HB137*Baseline!$P$29,HC137*Baseline!$P$30,HD137*Baseline!$P$31,Baseline!$P$23)</f>
        <v>626.18362874044828</v>
      </c>
      <c r="HG137" s="455" t="e">
        <f t="shared" si="29"/>
        <v>#DIV/0!</v>
      </c>
      <c r="HH137" s="429" t="e">
        <f>IF(HG137&lt;=Baseline!$J$13,1,0)</f>
        <v>#DIV/0!</v>
      </c>
      <c r="HI137" s="429">
        <f t="shared" si="30"/>
        <v>392105.93690255558</v>
      </c>
      <c r="HJ137" s="429">
        <f t="shared" si="25"/>
        <v>48910903.069173105</v>
      </c>
      <c r="HK137" s="429">
        <f t="shared" si="26"/>
        <v>58061606.033611111</v>
      </c>
      <c r="HL137" s="429" t="str">
        <f>IF(HM137=Reference!$I$12,(HF137-GV137),"")</f>
        <v/>
      </c>
      <c r="HM137" s="429" t="str">
        <f>Reference!I137</f>
        <v/>
      </c>
      <c r="HN137" s="429" t="str">
        <f t="shared" si="31"/>
        <v/>
      </c>
    </row>
    <row r="138" spans="189:222" ht="17.25" customHeight="1" x14ac:dyDescent="0.35">
      <c r="GG138" s="432"/>
      <c r="GJ138" s="429" t="str">
        <f>IF(GK138=$GJ$15,$GJ$15,IF(GJ$24=HF$4,SUM(GK$25:GK138),SUM(GL$25:GL138)))</f>
        <v>N</v>
      </c>
      <c r="GK138" s="438" t="str">
        <f>IFERROR('!!'!G138-'!!'!D138,$GJ$15)</f>
        <v>N</v>
      </c>
      <c r="GL138" s="429" t="str">
        <f t="shared" si="27"/>
        <v>N</v>
      </c>
      <c r="GM138" s="438">
        <f>IFERROR(('!!'!$D138)*('!!'!W138/('!!'!$G138)),0)</f>
        <v>0</v>
      </c>
      <c r="GN138" s="438">
        <f>IFERROR(('!!'!$D138)*('!!'!X138/('!!'!$G138)),0)</f>
        <v>0</v>
      </c>
      <c r="GO138" s="438">
        <f>IFERROR(('!!'!$D138)*('!!'!Y138/('!!'!$G138)),0)</f>
        <v>0</v>
      </c>
      <c r="GP138" s="438">
        <f>IFERROR(('!!'!$D138)*('!!'!Z137/('!!'!$G138)),0)</f>
        <v>0</v>
      </c>
      <c r="GQ138" s="438">
        <f>IFERROR(('!!'!$D138)*('!!'!Q138/('!!'!$G138)),0)</f>
        <v>0</v>
      </c>
      <c r="GR138" s="429">
        <v>1</v>
      </c>
      <c r="GS138" s="429">
        <v>2</v>
      </c>
      <c r="GT138" s="432">
        <f>Monitoring!C138</f>
        <v>0</v>
      </c>
      <c r="GU138" s="432">
        <f>Reference!$C138</f>
        <v>0</v>
      </c>
      <c r="GV138" s="429">
        <f>Reference!$D138</f>
        <v>0</v>
      </c>
      <c r="GW138" s="440">
        <f t="shared" si="36"/>
        <v>0</v>
      </c>
      <c r="GX138" s="440">
        <f t="shared" si="36"/>
        <v>0</v>
      </c>
      <c r="GY138" s="440">
        <f t="shared" si="36"/>
        <v>0</v>
      </c>
      <c r="GZ138" s="440">
        <f t="shared" si="36"/>
        <v>0</v>
      </c>
      <c r="HA138" s="440"/>
      <c r="HB138" s="440"/>
      <c r="HC138" s="440"/>
      <c r="HD138" s="440"/>
      <c r="HE138" s="429">
        <f t="shared" si="28"/>
        <v>114</v>
      </c>
      <c r="HF138" s="429">
        <f>SUM(GW138*Baseline!$P$24,GX138*Baseline!$P$25,GY138*Baseline!$P$26,GZ138*Baseline!$P$27,HA138*Baseline!$P$28,HB138*Baseline!$P$29,HC138*Baseline!$P$30,HD138*Baseline!$P$31,Baseline!$P$23)</f>
        <v>626.18362874044828</v>
      </c>
      <c r="HG138" s="455" t="e">
        <f t="shared" si="29"/>
        <v>#DIV/0!</v>
      </c>
      <c r="HH138" s="429" t="e">
        <f>IF(HG138&lt;=Baseline!$J$13,1,0)</f>
        <v>#DIV/0!</v>
      </c>
      <c r="HI138" s="429">
        <f t="shared" si="30"/>
        <v>392105.93690255558</v>
      </c>
      <c r="HJ138" s="429">
        <f t="shared" si="25"/>
        <v>48910903.069173105</v>
      </c>
      <c r="HK138" s="429">
        <f t="shared" si="26"/>
        <v>58061606.033611111</v>
      </c>
      <c r="HL138" s="429" t="str">
        <f>IF(HM138=Reference!$I$12,(HF138-GV138),"")</f>
        <v/>
      </c>
      <c r="HM138" s="429" t="str">
        <f>Reference!I138</f>
        <v/>
      </c>
      <c r="HN138" s="429" t="str">
        <f t="shared" si="31"/>
        <v/>
      </c>
    </row>
    <row r="139" spans="189:222" ht="17.25" customHeight="1" x14ac:dyDescent="0.35">
      <c r="GG139" s="432"/>
      <c r="GJ139" s="429" t="str">
        <f>IF(GK139=$GJ$15,$GJ$15,IF(GJ$24=HF$4,SUM(GK$25:GK139),SUM(GL$25:GL139)))</f>
        <v>N</v>
      </c>
      <c r="GK139" s="438" t="str">
        <f>IFERROR('!!'!G139-'!!'!D139,$GJ$15)</f>
        <v>N</v>
      </c>
      <c r="GL139" s="429" t="str">
        <f t="shared" si="27"/>
        <v>N</v>
      </c>
      <c r="GM139" s="438">
        <f>IFERROR(('!!'!$D139)*('!!'!W139/('!!'!$G139)),0)</f>
        <v>0</v>
      </c>
      <c r="GN139" s="438">
        <f>IFERROR(('!!'!$D139)*('!!'!X139/('!!'!$G139)),0)</f>
        <v>0</v>
      </c>
      <c r="GO139" s="438">
        <f>IFERROR(('!!'!$D139)*('!!'!Y139/('!!'!$G139)),0)</f>
        <v>0</v>
      </c>
      <c r="GP139" s="438">
        <f>IFERROR(('!!'!$D139)*('!!'!Z138/('!!'!$G139)),0)</f>
        <v>0</v>
      </c>
      <c r="GQ139" s="438">
        <f>IFERROR(('!!'!$D139)*('!!'!Q139/('!!'!$G139)),0)</f>
        <v>0</v>
      </c>
      <c r="GR139" s="429">
        <v>1</v>
      </c>
      <c r="GS139" s="429">
        <v>2</v>
      </c>
      <c r="GT139" s="432">
        <f>Monitoring!C139</f>
        <v>0</v>
      </c>
      <c r="GU139" s="432">
        <f>Reference!$C139</f>
        <v>0</v>
      </c>
      <c r="GV139" s="429">
        <f>Reference!$D139</f>
        <v>0</v>
      </c>
      <c r="GW139" s="440">
        <f t="shared" si="36"/>
        <v>0</v>
      </c>
      <c r="GX139" s="440">
        <f t="shared" si="36"/>
        <v>0</v>
      </c>
      <c r="GY139" s="440">
        <f t="shared" si="36"/>
        <v>0</v>
      </c>
      <c r="GZ139" s="440">
        <f t="shared" si="36"/>
        <v>0</v>
      </c>
      <c r="HA139" s="440"/>
      <c r="HB139" s="440"/>
      <c r="HC139" s="440"/>
      <c r="HD139" s="440"/>
      <c r="HE139" s="429">
        <f t="shared" si="28"/>
        <v>115</v>
      </c>
      <c r="HF139" s="429">
        <f>SUM(GW139*Baseline!$P$24,GX139*Baseline!$P$25,GY139*Baseline!$P$26,GZ139*Baseline!$P$27,HA139*Baseline!$P$28,HB139*Baseline!$P$29,HC139*Baseline!$P$30,HD139*Baseline!$P$31,Baseline!$P$23)</f>
        <v>626.18362874044828</v>
      </c>
      <c r="HG139" s="455" t="e">
        <f t="shared" si="29"/>
        <v>#DIV/0!</v>
      </c>
      <c r="HH139" s="429" t="e">
        <f>IF(HG139&lt;=Baseline!$J$13,1,0)</f>
        <v>#DIV/0!</v>
      </c>
      <c r="HI139" s="429">
        <f t="shared" si="30"/>
        <v>392105.93690255558</v>
      </c>
      <c r="HJ139" s="429">
        <f t="shared" si="25"/>
        <v>48910903.069173105</v>
      </c>
      <c r="HK139" s="429">
        <f t="shared" si="26"/>
        <v>58061606.033611111</v>
      </c>
      <c r="HL139" s="429" t="str">
        <f>IF(HM139=Reference!$I$12,(HF139-GV139),"")</f>
        <v/>
      </c>
      <c r="HM139" s="429" t="str">
        <f>Reference!I139</f>
        <v/>
      </c>
      <c r="HN139" s="429" t="str">
        <f t="shared" si="31"/>
        <v/>
      </c>
    </row>
    <row r="140" spans="189:222" ht="17.25" customHeight="1" x14ac:dyDescent="0.35">
      <c r="GG140" s="432"/>
      <c r="GJ140" s="429" t="str">
        <f>IF(GK140=$GJ$15,$GJ$15,IF(GJ$24=HF$4,SUM(GK$25:GK140),SUM(GL$25:GL140)))</f>
        <v>N</v>
      </c>
      <c r="GK140" s="438" t="str">
        <f>IFERROR('!!'!G140-'!!'!D140,$GJ$15)</f>
        <v>N</v>
      </c>
      <c r="GL140" s="429" t="str">
        <f t="shared" si="27"/>
        <v>N</v>
      </c>
      <c r="GM140" s="438">
        <f>IFERROR(('!!'!$D140)*('!!'!W140/('!!'!$G140)),0)</f>
        <v>0</v>
      </c>
      <c r="GN140" s="438">
        <f>IFERROR(('!!'!$D140)*('!!'!X140/('!!'!$G140)),0)</f>
        <v>0</v>
      </c>
      <c r="GO140" s="438">
        <f>IFERROR(('!!'!$D140)*('!!'!Y140/('!!'!$G140)),0)</f>
        <v>0</v>
      </c>
      <c r="GP140" s="438">
        <f>IFERROR(('!!'!$D140)*('!!'!Z139/('!!'!$G140)),0)</f>
        <v>0</v>
      </c>
      <c r="GQ140" s="438">
        <f>IFERROR(('!!'!$D140)*('!!'!Q140/('!!'!$G140)),0)</f>
        <v>0</v>
      </c>
      <c r="GR140" s="429">
        <v>1</v>
      </c>
      <c r="GS140" s="429">
        <v>2</v>
      </c>
      <c r="GT140" s="432">
        <f>Monitoring!C140</f>
        <v>0</v>
      </c>
      <c r="GU140" s="432">
        <f>Reference!$C140</f>
        <v>0</v>
      </c>
      <c r="GV140" s="429">
        <f>Reference!$D140</f>
        <v>0</v>
      </c>
      <c r="GW140" s="440">
        <f t="shared" si="36"/>
        <v>0</v>
      </c>
      <c r="GX140" s="440">
        <f t="shared" si="36"/>
        <v>0</v>
      </c>
      <c r="GY140" s="440">
        <f t="shared" si="36"/>
        <v>0</v>
      </c>
      <c r="GZ140" s="440">
        <f t="shared" si="36"/>
        <v>0</v>
      </c>
      <c r="HA140" s="440"/>
      <c r="HB140" s="440"/>
      <c r="HC140" s="440"/>
      <c r="HD140" s="440"/>
      <c r="HE140" s="429">
        <f t="shared" si="28"/>
        <v>116</v>
      </c>
      <c r="HF140" s="429">
        <f>SUM(GW140*Baseline!$P$24,GX140*Baseline!$P$25,GY140*Baseline!$P$26,GZ140*Baseline!$P$27,HA140*Baseline!$P$28,HB140*Baseline!$P$29,HC140*Baseline!$P$30,HD140*Baseline!$P$31,Baseline!$P$23)</f>
        <v>626.18362874044828</v>
      </c>
      <c r="HG140" s="455" t="e">
        <f t="shared" si="29"/>
        <v>#DIV/0!</v>
      </c>
      <c r="HH140" s="429" t="e">
        <f>IF(HG140&lt;=Baseline!$J$13,1,0)</f>
        <v>#DIV/0!</v>
      </c>
      <c r="HI140" s="429">
        <f t="shared" si="30"/>
        <v>392105.93690255558</v>
      </c>
      <c r="HJ140" s="429">
        <f t="shared" si="25"/>
        <v>48910903.069173105</v>
      </c>
      <c r="HK140" s="429">
        <f t="shared" si="26"/>
        <v>58061606.033611111</v>
      </c>
      <c r="HL140" s="429" t="str">
        <f>IF(HM140=Reference!$I$12,(HF140-GV140),"")</f>
        <v/>
      </c>
      <c r="HM140" s="429" t="str">
        <f>Reference!I140</f>
        <v/>
      </c>
      <c r="HN140" s="429" t="str">
        <f t="shared" si="31"/>
        <v/>
      </c>
    </row>
    <row r="141" spans="189:222" ht="17.25" customHeight="1" x14ac:dyDescent="0.35">
      <c r="GG141" s="432"/>
      <c r="GJ141" s="429" t="str">
        <f>IF(GK141=$GJ$15,$GJ$15,IF(GJ$24=HF$4,SUM(GK$25:GK141),SUM(GL$25:GL141)))</f>
        <v>N</v>
      </c>
      <c r="GK141" s="438" t="str">
        <f>IFERROR('!!'!G141-'!!'!D141,$GJ$15)</f>
        <v>N</v>
      </c>
      <c r="GL141" s="429" t="str">
        <f t="shared" si="27"/>
        <v>N</v>
      </c>
      <c r="GM141" s="438">
        <f>IFERROR(('!!'!$D141)*('!!'!W141/('!!'!$G141)),0)</f>
        <v>0</v>
      </c>
      <c r="GN141" s="438">
        <f>IFERROR(('!!'!$D141)*('!!'!X141/('!!'!$G141)),0)</f>
        <v>0</v>
      </c>
      <c r="GO141" s="438">
        <f>IFERROR(('!!'!$D141)*('!!'!Y141/('!!'!$G141)),0)</f>
        <v>0</v>
      </c>
      <c r="GP141" s="438">
        <f>IFERROR(('!!'!$D141)*('!!'!Z140/('!!'!$G141)),0)</f>
        <v>0</v>
      </c>
      <c r="GQ141" s="438">
        <f>IFERROR(('!!'!$D141)*('!!'!Q141/('!!'!$G141)),0)</f>
        <v>0</v>
      </c>
      <c r="GR141" s="429">
        <v>1</v>
      </c>
      <c r="GS141" s="429">
        <v>2</v>
      </c>
      <c r="GT141" s="432">
        <f>Monitoring!C141</f>
        <v>0</v>
      </c>
      <c r="GU141" s="432">
        <f>Reference!$C141</f>
        <v>0</v>
      </c>
      <c r="GV141" s="429">
        <f>Reference!$D141</f>
        <v>0</v>
      </c>
      <c r="GW141" s="440">
        <f t="shared" si="36"/>
        <v>0</v>
      </c>
      <c r="GX141" s="440">
        <f t="shared" si="36"/>
        <v>0</v>
      </c>
      <c r="GY141" s="440">
        <f t="shared" si="36"/>
        <v>0</v>
      </c>
      <c r="GZ141" s="440">
        <f t="shared" si="36"/>
        <v>0</v>
      </c>
      <c r="HA141" s="440"/>
      <c r="HB141" s="440"/>
      <c r="HC141" s="440"/>
      <c r="HD141" s="440"/>
      <c r="HE141" s="429">
        <f t="shared" si="28"/>
        <v>117</v>
      </c>
      <c r="HF141" s="429">
        <f>SUM(GW141*Baseline!$P$24,GX141*Baseline!$P$25,GY141*Baseline!$P$26,GZ141*Baseline!$P$27,HA141*Baseline!$P$28,HB141*Baseline!$P$29,HC141*Baseline!$P$30,HD141*Baseline!$P$31,Baseline!$P$23)</f>
        <v>626.18362874044828</v>
      </c>
      <c r="HG141" s="455" t="e">
        <f t="shared" si="29"/>
        <v>#DIV/0!</v>
      </c>
      <c r="HH141" s="429" t="e">
        <f>IF(HG141&lt;=Baseline!$J$13,1,0)</f>
        <v>#DIV/0!</v>
      </c>
      <c r="HI141" s="429">
        <f t="shared" si="30"/>
        <v>392105.93690255558</v>
      </c>
      <c r="HJ141" s="429">
        <f t="shared" si="25"/>
        <v>48910903.069173105</v>
      </c>
      <c r="HK141" s="429">
        <f t="shared" si="26"/>
        <v>58061606.033611111</v>
      </c>
      <c r="HL141" s="429" t="str">
        <f>IF(HM141=Reference!$I$12,(HF141-GV141),"")</f>
        <v/>
      </c>
      <c r="HM141" s="429" t="str">
        <f>Reference!I141</f>
        <v/>
      </c>
      <c r="HN141" s="429" t="str">
        <f t="shared" si="31"/>
        <v/>
      </c>
    </row>
    <row r="142" spans="189:222" ht="17.25" customHeight="1" x14ac:dyDescent="0.35">
      <c r="GG142" s="432"/>
      <c r="GJ142" s="429" t="str">
        <f>IF(GK142=$GJ$15,$GJ$15,IF(GJ$24=HF$4,SUM(GK$25:GK142),SUM(GL$25:GL142)))</f>
        <v>N</v>
      </c>
      <c r="GK142" s="438" t="str">
        <f>IFERROR('!!'!G142-'!!'!D142,$GJ$15)</f>
        <v>N</v>
      </c>
      <c r="GL142" s="429" t="str">
        <f t="shared" si="27"/>
        <v>N</v>
      </c>
      <c r="GM142" s="438">
        <f>IFERROR(('!!'!$D142)*('!!'!W142/('!!'!$G142)),0)</f>
        <v>0</v>
      </c>
      <c r="GN142" s="438">
        <f>IFERROR(('!!'!$D142)*('!!'!X142/('!!'!$G142)),0)</f>
        <v>0</v>
      </c>
      <c r="GO142" s="438">
        <f>IFERROR(('!!'!$D142)*('!!'!Y142/('!!'!$G142)),0)</f>
        <v>0</v>
      </c>
      <c r="GP142" s="438">
        <f>IFERROR(('!!'!$D142)*('!!'!Z141/('!!'!$G142)),0)</f>
        <v>0</v>
      </c>
      <c r="GQ142" s="438">
        <f>IFERROR(('!!'!$D142)*('!!'!Q142/('!!'!$G142)),0)</f>
        <v>0</v>
      </c>
      <c r="GR142" s="429">
        <v>1</v>
      </c>
      <c r="GS142" s="429">
        <v>2</v>
      </c>
      <c r="GT142" s="432">
        <f>Monitoring!C142</f>
        <v>0</v>
      </c>
      <c r="GU142" s="432">
        <f>Reference!$C142</f>
        <v>0</v>
      </c>
      <c r="GV142" s="429">
        <f>Reference!$D142</f>
        <v>0</v>
      </c>
      <c r="GW142" s="440">
        <f t="shared" si="36"/>
        <v>0</v>
      </c>
      <c r="GX142" s="440">
        <f t="shared" si="36"/>
        <v>0</v>
      </c>
      <c r="GY142" s="440">
        <f t="shared" si="36"/>
        <v>0</v>
      </c>
      <c r="GZ142" s="440">
        <f t="shared" si="36"/>
        <v>0</v>
      </c>
      <c r="HA142" s="440"/>
      <c r="HB142" s="440"/>
      <c r="HC142" s="440"/>
      <c r="HD142" s="440"/>
      <c r="HE142" s="429">
        <f t="shared" si="28"/>
        <v>118</v>
      </c>
      <c r="HF142" s="429">
        <f>SUM(GW142*Baseline!$P$24,GX142*Baseline!$P$25,GY142*Baseline!$P$26,GZ142*Baseline!$P$27,HA142*Baseline!$P$28,HB142*Baseline!$P$29,HC142*Baseline!$P$30,HD142*Baseline!$P$31,Baseline!$P$23)</f>
        <v>626.18362874044828</v>
      </c>
      <c r="HG142" s="455" t="e">
        <f t="shared" si="29"/>
        <v>#DIV/0!</v>
      </c>
      <c r="HH142" s="429" t="e">
        <f>IF(HG142&lt;=Baseline!$J$13,1,0)</f>
        <v>#DIV/0!</v>
      </c>
      <c r="HI142" s="429">
        <f t="shared" si="30"/>
        <v>392105.93690255558</v>
      </c>
      <c r="HJ142" s="429">
        <f t="shared" si="25"/>
        <v>48910903.069173105</v>
      </c>
      <c r="HK142" s="429">
        <f t="shared" si="26"/>
        <v>58061606.033611111</v>
      </c>
      <c r="HL142" s="429" t="str">
        <f>IF(HM142=Reference!$I$12,(HF142-GV142),"")</f>
        <v/>
      </c>
      <c r="HM142" s="429" t="str">
        <f>Reference!I142</f>
        <v/>
      </c>
      <c r="HN142" s="429" t="str">
        <f t="shared" si="31"/>
        <v/>
      </c>
    </row>
    <row r="143" spans="189:222" ht="17.25" customHeight="1" x14ac:dyDescent="0.35">
      <c r="GG143" s="432"/>
      <c r="GJ143" s="429" t="str">
        <f>IF(GK143=$GJ$15,$GJ$15,IF(GJ$24=HF$4,SUM(GK$25:GK143),SUM(GL$25:GL143)))</f>
        <v>N</v>
      </c>
      <c r="GK143" s="438" t="str">
        <f>IFERROR('!!'!G143-'!!'!D143,$GJ$15)</f>
        <v>N</v>
      </c>
      <c r="GL143" s="429" t="str">
        <f t="shared" si="27"/>
        <v>N</v>
      </c>
      <c r="GM143" s="438">
        <f>IFERROR(('!!'!$D143)*('!!'!W143/('!!'!$G143)),0)</f>
        <v>0</v>
      </c>
      <c r="GN143" s="438">
        <f>IFERROR(('!!'!$D143)*('!!'!X143/('!!'!$G143)),0)</f>
        <v>0</v>
      </c>
      <c r="GO143" s="438">
        <f>IFERROR(('!!'!$D143)*('!!'!Y143/('!!'!$G143)),0)</f>
        <v>0</v>
      </c>
      <c r="GP143" s="438">
        <f>IFERROR(('!!'!$D143)*('!!'!Z142/('!!'!$G143)),0)</f>
        <v>0</v>
      </c>
      <c r="GQ143" s="438">
        <f>IFERROR(('!!'!$D143)*('!!'!Q143/('!!'!$G143)),0)</f>
        <v>0</v>
      </c>
      <c r="GR143" s="429">
        <v>1</v>
      </c>
      <c r="GS143" s="429">
        <v>2</v>
      </c>
      <c r="GT143" s="432">
        <f>Monitoring!C143</f>
        <v>0</v>
      </c>
      <c r="GU143" s="432">
        <f>Reference!$C143</f>
        <v>0</v>
      </c>
      <c r="GV143" s="429">
        <f>Reference!$D143</f>
        <v>0</v>
      </c>
      <c r="GW143" s="440">
        <f t="shared" si="36"/>
        <v>0</v>
      </c>
      <c r="GX143" s="440">
        <f t="shared" si="36"/>
        <v>0</v>
      </c>
      <c r="GY143" s="440">
        <f t="shared" si="36"/>
        <v>0</v>
      </c>
      <c r="GZ143" s="440">
        <f t="shared" si="36"/>
        <v>0</v>
      </c>
      <c r="HA143" s="440"/>
      <c r="HB143" s="440"/>
      <c r="HC143" s="440"/>
      <c r="HD143" s="440"/>
      <c r="HE143" s="429">
        <f t="shared" si="28"/>
        <v>119</v>
      </c>
      <c r="HF143" s="429">
        <f>SUM(GW143*Baseline!$P$24,GX143*Baseline!$P$25,GY143*Baseline!$P$26,GZ143*Baseline!$P$27,HA143*Baseline!$P$28,HB143*Baseline!$P$29,HC143*Baseline!$P$30,HD143*Baseline!$P$31,Baseline!$P$23)</f>
        <v>626.18362874044828</v>
      </c>
      <c r="HG143" s="455" t="e">
        <f t="shared" si="29"/>
        <v>#DIV/0!</v>
      </c>
      <c r="HH143" s="429" t="e">
        <f>IF(HG143&lt;=Baseline!$J$13,1,0)</f>
        <v>#DIV/0!</v>
      </c>
      <c r="HI143" s="429">
        <f t="shared" si="30"/>
        <v>392105.93690255558</v>
      </c>
      <c r="HJ143" s="429">
        <f t="shared" si="25"/>
        <v>48910903.069173105</v>
      </c>
      <c r="HK143" s="429">
        <f t="shared" si="26"/>
        <v>58061606.033611111</v>
      </c>
      <c r="HL143" s="429" t="str">
        <f>IF(HM143=Reference!$I$12,(HF143-GV143),"")</f>
        <v/>
      </c>
      <c r="HM143" s="429" t="str">
        <f>Reference!I143</f>
        <v/>
      </c>
      <c r="HN143" s="429" t="str">
        <f t="shared" si="31"/>
        <v/>
      </c>
    </row>
    <row r="144" spans="189:222" ht="17.25" customHeight="1" x14ac:dyDescent="0.35">
      <c r="GG144" s="432"/>
      <c r="GJ144" s="429" t="str">
        <f>IF(GK144=$GJ$15,$GJ$15,IF(GJ$24=HF$4,SUM(GK$25:GK144),SUM(GL$25:GL144)))</f>
        <v>N</v>
      </c>
      <c r="GK144" s="438" t="str">
        <f>IFERROR('!!'!G144-'!!'!D144,$GJ$15)</f>
        <v>N</v>
      </c>
      <c r="GL144" s="429" t="str">
        <f t="shared" si="27"/>
        <v>N</v>
      </c>
      <c r="GM144" s="438">
        <f>IFERROR(('!!'!$D144)*('!!'!W144/('!!'!$G144)),0)</f>
        <v>0</v>
      </c>
      <c r="GN144" s="438">
        <f>IFERROR(('!!'!$D144)*('!!'!X144/('!!'!$G144)),0)</f>
        <v>0</v>
      </c>
      <c r="GO144" s="438">
        <f>IFERROR(('!!'!$D144)*('!!'!Y144/('!!'!$G144)),0)</f>
        <v>0</v>
      </c>
      <c r="GP144" s="438">
        <f>IFERROR(('!!'!$D144)*('!!'!Z143/('!!'!$G144)),0)</f>
        <v>0</v>
      </c>
      <c r="GQ144" s="438">
        <f>IFERROR(('!!'!$D144)*('!!'!Q144/('!!'!$G144)),0)</f>
        <v>0</v>
      </c>
      <c r="GR144" s="429">
        <v>1</v>
      </c>
      <c r="GS144" s="429">
        <v>2</v>
      </c>
      <c r="GT144" s="432">
        <f>Monitoring!C144</f>
        <v>0</v>
      </c>
      <c r="GU144" s="432">
        <f>Reference!$C144</f>
        <v>0</v>
      </c>
      <c r="GV144" s="429">
        <f>Reference!$D144</f>
        <v>0</v>
      </c>
      <c r="GW144" s="440">
        <f t="shared" si="36"/>
        <v>0</v>
      </c>
      <c r="GX144" s="440">
        <f t="shared" si="36"/>
        <v>0</v>
      </c>
      <c r="GY144" s="440">
        <f t="shared" si="36"/>
        <v>0</v>
      </c>
      <c r="GZ144" s="440">
        <f t="shared" si="36"/>
        <v>0</v>
      </c>
      <c r="HA144" s="440"/>
      <c r="HB144" s="440"/>
      <c r="HC144" s="440"/>
      <c r="HD144" s="440"/>
      <c r="HE144" s="429">
        <f t="shared" si="28"/>
        <v>120</v>
      </c>
      <c r="HF144" s="429">
        <f>SUM(GW144*Baseline!$P$24,GX144*Baseline!$P$25,GY144*Baseline!$P$26,GZ144*Baseline!$P$27,HA144*Baseline!$P$28,HB144*Baseline!$P$29,HC144*Baseline!$P$30,HD144*Baseline!$P$31,Baseline!$P$23)</f>
        <v>626.18362874044828</v>
      </c>
      <c r="HG144" s="455" t="e">
        <f t="shared" si="29"/>
        <v>#DIV/0!</v>
      </c>
      <c r="HH144" s="429" t="e">
        <f>IF(HG144&lt;=Baseline!$J$13,1,0)</f>
        <v>#DIV/0!</v>
      </c>
      <c r="HI144" s="429">
        <f t="shared" si="30"/>
        <v>392105.93690255558</v>
      </c>
      <c r="HJ144" s="429">
        <f t="shared" si="25"/>
        <v>48910903.069173105</v>
      </c>
      <c r="HK144" s="429">
        <f t="shared" si="26"/>
        <v>58061606.033611111</v>
      </c>
      <c r="HL144" s="429" t="str">
        <f>IF(HM144=Reference!$I$12,(HF144-GV144),"")</f>
        <v/>
      </c>
      <c r="HM144" s="429" t="str">
        <f>Reference!I144</f>
        <v/>
      </c>
      <c r="HN144" s="429" t="str">
        <f t="shared" si="31"/>
        <v/>
      </c>
    </row>
    <row r="145" spans="189:222" ht="17.25" customHeight="1" x14ac:dyDescent="0.35">
      <c r="GG145" s="432"/>
      <c r="GJ145" s="429" t="str">
        <f>IF(GK145=$GJ$15,$GJ$15,IF(GJ$24=HF$4,SUM(GK$25:GK145),SUM(GL$25:GL145)))</f>
        <v>N</v>
      </c>
      <c r="GK145" s="438" t="str">
        <f>IFERROR('!!'!G145-'!!'!D145,$GJ$15)</f>
        <v>N</v>
      </c>
      <c r="GL145" s="429" t="str">
        <f t="shared" si="27"/>
        <v>N</v>
      </c>
      <c r="GM145" s="438">
        <f>IFERROR(('!!'!$D145)*('!!'!W145/('!!'!$G145)),0)</f>
        <v>0</v>
      </c>
      <c r="GN145" s="438">
        <f>IFERROR(('!!'!$D145)*('!!'!X145/('!!'!$G145)),0)</f>
        <v>0</v>
      </c>
      <c r="GO145" s="438">
        <f>IFERROR(('!!'!$D145)*('!!'!Y145/('!!'!$G145)),0)</f>
        <v>0</v>
      </c>
      <c r="GP145" s="438">
        <f>IFERROR(('!!'!$D145)*('!!'!Z144/('!!'!$G145)),0)</f>
        <v>0</v>
      </c>
      <c r="GQ145" s="438">
        <f>IFERROR(('!!'!$D145)*('!!'!Q145/('!!'!$G145)),0)</f>
        <v>0</v>
      </c>
      <c r="GR145" s="429">
        <v>1</v>
      </c>
      <c r="GS145" s="429">
        <v>2</v>
      </c>
      <c r="GT145" s="432">
        <f>Monitoring!C145</f>
        <v>0</v>
      </c>
      <c r="GU145" s="432">
        <f>Reference!$C145</f>
        <v>0</v>
      </c>
      <c r="GV145" s="429">
        <f>Reference!$D145</f>
        <v>0</v>
      </c>
      <c r="GW145" s="440">
        <f t="shared" ref="GW145:GZ154" si="37">IFERROR(VLOOKUP($GU145,Daten.B,GW$22,FALSE)^GW$23,0)</f>
        <v>0</v>
      </c>
      <c r="GX145" s="440">
        <f t="shared" si="37"/>
        <v>0</v>
      </c>
      <c r="GY145" s="440">
        <f t="shared" si="37"/>
        <v>0</v>
      </c>
      <c r="GZ145" s="440">
        <f t="shared" si="37"/>
        <v>0</v>
      </c>
      <c r="HA145" s="440"/>
      <c r="HB145" s="440"/>
      <c r="HC145" s="440"/>
      <c r="HD145" s="440"/>
      <c r="HE145" s="429">
        <f t="shared" si="28"/>
        <v>121</v>
      </c>
      <c r="HF145" s="429">
        <f>SUM(GW145*Baseline!$P$24,GX145*Baseline!$P$25,GY145*Baseline!$P$26,GZ145*Baseline!$P$27,HA145*Baseline!$P$28,HB145*Baseline!$P$29,HC145*Baseline!$P$30,HD145*Baseline!$P$31,Baseline!$P$23)</f>
        <v>626.18362874044828</v>
      </c>
      <c r="HG145" s="455" t="e">
        <f t="shared" si="29"/>
        <v>#DIV/0!</v>
      </c>
      <c r="HH145" s="429" t="e">
        <f>IF(HG145&lt;=Baseline!$J$13,1,0)</f>
        <v>#DIV/0!</v>
      </c>
      <c r="HI145" s="429">
        <f t="shared" si="30"/>
        <v>392105.93690255558</v>
      </c>
      <c r="HJ145" s="429">
        <f t="shared" si="25"/>
        <v>48910903.069173105</v>
      </c>
      <c r="HK145" s="429">
        <f t="shared" si="26"/>
        <v>58061606.033611111</v>
      </c>
      <c r="HL145" s="429" t="str">
        <f>IF(HM145=Reference!$I$12,(HF145-GV145),"")</f>
        <v/>
      </c>
      <c r="HM145" s="429" t="str">
        <f>Reference!I145</f>
        <v/>
      </c>
      <c r="HN145" s="429" t="str">
        <f t="shared" si="31"/>
        <v/>
      </c>
    </row>
    <row r="146" spans="189:222" ht="17.25" customHeight="1" x14ac:dyDescent="0.35">
      <c r="GG146" s="432"/>
      <c r="GJ146" s="429" t="str">
        <f>IF(GK146=$GJ$15,$GJ$15,IF(GJ$24=HF$4,SUM(GK$25:GK146),SUM(GL$25:GL146)))</f>
        <v>N</v>
      </c>
      <c r="GK146" s="438" t="str">
        <f>IFERROR('!!'!G146-'!!'!D146,$GJ$15)</f>
        <v>N</v>
      </c>
      <c r="GL146" s="429" t="str">
        <f t="shared" si="27"/>
        <v>N</v>
      </c>
      <c r="GM146" s="438">
        <f>IFERROR(('!!'!$D146)*('!!'!W146/('!!'!$G146)),0)</f>
        <v>0</v>
      </c>
      <c r="GN146" s="438">
        <f>IFERROR(('!!'!$D146)*('!!'!X146/('!!'!$G146)),0)</f>
        <v>0</v>
      </c>
      <c r="GO146" s="438">
        <f>IFERROR(('!!'!$D146)*('!!'!Y146/('!!'!$G146)),0)</f>
        <v>0</v>
      </c>
      <c r="GP146" s="438">
        <f>IFERROR(('!!'!$D146)*('!!'!Z145/('!!'!$G146)),0)</f>
        <v>0</v>
      </c>
      <c r="GQ146" s="438">
        <f>IFERROR(('!!'!$D146)*('!!'!Q146/('!!'!$G146)),0)</f>
        <v>0</v>
      </c>
      <c r="GR146" s="429">
        <v>1</v>
      </c>
      <c r="GS146" s="429">
        <v>2</v>
      </c>
      <c r="GT146" s="432">
        <f>Monitoring!C146</f>
        <v>0</v>
      </c>
      <c r="GU146" s="432">
        <f>Reference!$C146</f>
        <v>0</v>
      </c>
      <c r="GV146" s="429">
        <f>Reference!$D146</f>
        <v>0</v>
      </c>
      <c r="GW146" s="440">
        <f t="shared" si="37"/>
        <v>0</v>
      </c>
      <c r="GX146" s="440">
        <f t="shared" si="37"/>
        <v>0</v>
      </c>
      <c r="GY146" s="440">
        <f t="shared" si="37"/>
        <v>0</v>
      </c>
      <c r="GZ146" s="440">
        <f t="shared" si="37"/>
        <v>0</v>
      </c>
      <c r="HA146" s="440"/>
      <c r="HB146" s="440"/>
      <c r="HC146" s="440"/>
      <c r="HD146" s="440"/>
      <c r="HE146" s="429">
        <f t="shared" si="28"/>
        <v>122</v>
      </c>
      <c r="HF146" s="429">
        <f>SUM(GW146*Baseline!$P$24,GX146*Baseline!$P$25,GY146*Baseline!$P$26,GZ146*Baseline!$P$27,HA146*Baseline!$P$28,HB146*Baseline!$P$29,HC146*Baseline!$P$30,HD146*Baseline!$P$31,Baseline!$P$23)</f>
        <v>626.18362874044828</v>
      </c>
      <c r="HG146" s="455" t="e">
        <f t="shared" si="29"/>
        <v>#DIV/0!</v>
      </c>
      <c r="HH146" s="429" t="e">
        <f>IF(HG146&lt;=Baseline!$J$13,1,0)</f>
        <v>#DIV/0!</v>
      </c>
      <c r="HI146" s="429">
        <f t="shared" si="30"/>
        <v>392105.93690255558</v>
      </c>
      <c r="HJ146" s="429">
        <f t="shared" si="25"/>
        <v>48910903.069173105</v>
      </c>
      <c r="HK146" s="429">
        <f t="shared" si="26"/>
        <v>58061606.033611111</v>
      </c>
      <c r="HL146" s="429" t="str">
        <f>IF(HM146=Reference!$I$12,(HF146-GV146),"")</f>
        <v/>
      </c>
      <c r="HM146" s="429" t="str">
        <f>Reference!I146</f>
        <v/>
      </c>
      <c r="HN146" s="429" t="str">
        <f t="shared" si="31"/>
        <v/>
      </c>
    </row>
    <row r="147" spans="189:222" ht="17.25" customHeight="1" x14ac:dyDescent="0.35">
      <c r="GG147" s="432"/>
      <c r="GJ147" s="429" t="str">
        <f>IF(GK147=$GJ$15,$GJ$15,IF(GJ$24=HF$4,SUM(GK$25:GK147),SUM(GL$25:GL147)))</f>
        <v>N</v>
      </c>
      <c r="GK147" s="438" t="str">
        <f>IFERROR('!!'!G147-'!!'!D147,$GJ$15)</f>
        <v>N</v>
      </c>
      <c r="GL147" s="429" t="str">
        <f t="shared" si="27"/>
        <v>N</v>
      </c>
      <c r="GM147" s="438">
        <f>IFERROR(('!!'!$D147)*('!!'!W147/('!!'!$G147)),0)</f>
        <v>0</v>
      </c>
      <c r="GN147" s="438">
        <f>IFERROR(('!!'!$D147)*('!!'!X147/('!!'!$G147)),0)</f>
        <v>0</v>
      </c>
      <c r="GO147" s="438">
        <f>IFERROR(('!!'!$D147)*('!!'!Y147/('!!'!$G147)),0)</f>
        <v>0</v>
      </c>
      <c r="GP147" s="438">
        <f>IFERROR(('!!'!$D147)*('!!'!Z146/('!!'!$G147)),0)</f>
        <v>0</v>
      </c>
      <c r="GQ147" s="438">
        <f>IFERROR(('!!'!$D147)*('!!'!Q147/('!!'!$G147)),0)</f>
        <v>0</v>
      </c>
      <c r="GR147" s="429">
        <v>1</v>
      </c>
      <c r="GS147" s="429">
        <v>2</v>
      </c>
      <c r="GT147" s="432">
        <f>Monitoring!C147</f>
        <v>0</v>
      </c>
      <c r="GU147" s="432">
        <f>Reference!$C147</f>
        <v>0</v>
      </c>
      <c r="GV147" s="429">
        <f>Reference!$D147</f>
        <v>0</v>
      </c>
      <c r="GW147" s="440">
        <f t="shared" si="37"/>
        <v>0</v>
      </c>
      <c r="GX147" s="440">
        <f t="shared" si="37"/>
        <v>0</v>
      </c>
      <c r="GY147" s="440">
        <f t="shared" si="37"/>
        <v>0</v>
      </c>
      <c r="GZ147" s="440">
        <f t="shared" si="37"/>
        <v>0</v>
      </c>
      <c r="HA147" s="440"/>
      <c r="HB147" s="440"/>
      <c r="HC147" s="440"/>
      <c r="HD147" s="440"/>
      <c r="HE147" s="429">
        <f t="shared" si="28"/>
        <v>123</v>
      </c>
      <c r="HF147" s="429">
        <f>SUM(GW147*Baseline!$P$24,GX147*Baseline!$P$25,GY147*Baseline!$P$26,GZ147*Baseline!$P$27,HA147*Baseline!$P$28,HB147*Baseline!$P$29,HC147*Baseline!$P$30,HD147*Baseline!$P$31,Baseline!$P$23)</f>
        <v>626.18362874044828</v>
      </c>
      <c r="HG147" s="455" t="e">
        <f t="shared" si="29"/>
        <v>#DIV/0!</v>
      </c>
      <c r="HH147" s="429" t="e">
        <f>IF(HG147&lt;=Baseline!$J$13,1,0)</f>
        <v>#DIV/0!</v>
      </c>
      <c r="HI147" s="429">
        <f t="shared" si="30"/>
        <v>392105.93690255558</v>
      </c>
      <c r="HJ147" s="429">
        <f t="shared" si="25"/>
        <v>48910903.069173105</v>
      </c>
      <c r="HK147" s="429">
        <f t="shared" si="26"/>
        <v>58061606.033611111</v>
      </c>
      <c r="HL147" s="429" t="str">
        <f>IF(HM147=Reference!$I$12,(HF147-GV147),"")</f>
        <v/>
      </c>
      <c r="HM147" s="429" t="str">
        <f>Reference!I147</f>
        <v/>
      </c>
      <c r="HN147" s="429" t="str">
        <f t="shared" si="31"/>
        <v/>
      </c>
    </row>
    <row r="148" spans="189:222" ht="17.25" customHeight="1" x14ac:dyDescent="0.35">
      <c r="GG148" s="432"/>
      <c r="GJ148" s="429" t="str">
        <f>IF(GK148=$GJ$15,$GJ$15,IF(GJ$24=HF$4,SUM(GK$25:GK148),SUM(GL$25:GL148)))</f>
        <v>N</v>
      </c>
      <c r="GK148" s="438" t="str">
        <f>IFERROR('!!'!G148-'!!'!D148,$GJ$15)</f>
        <v>N</v>
      </c>
      <c r="GL148" s="429" t="str">
        <f t="shared" si="27"/>
        <v>N</v>
      </c>
      <c r="GM148" s="438">
        <f>IFERROR(('!!'!$D148)*('!!'!W148/('!!'!$G148)),0)</f>
        <v>0</v>
      </c>
      <c r="GN148" s="438">
        <f>IFERROR(('!!'!$D148)*('!!'!X148/('!!'!$G148)),0)</f>
        <v>0</v>
      </c>
      <c r="GO148" s="438">
        <f>IFERROR(('!!'!$D148)*('!!'!Y148/('!!'!$G148)),0)</f>
        <v>0</v>
      </c>
      <c r="GP148" s="438">
        <f>IFERROR(('!!'!$D148)*('!!'!Z147/('!!'!$G148)),0)</f>
        <v>0</v>
      </c>
      <c r="GQ148" s="438">
        <f>IFERROR(('!!'!$D148)*('!!'!Q148/('!!'!$G148)),0)</f>
        <v>0</v>
      </c>
      <c r="GR148" s="429">
        <v>1</v>
      </c>
      <c r="GS148" s="429">
        <v>2</v>
      </c>
      <c r="GT148" s="432">
        <f>Monitoring!C148</f>
        <v>0</v>
      </c>
      <c r="GU148" s="432">
        <f>Reference!$C148</f>
        <v>0</v>
      </c>
      <c r="GV148" s="429">
        <f>Reference!$D148</f>
        <v>0</v>
      </c>
      <c r="GW148" s="440">
        <f t="shared" si="37"/>
        <v>0</v>
      </c>
      <c r="GX148" s="440">
        <f t="shared" si="37"/>
        <v>0</v>
      </c>
      <c r="GY148" s="440">
        <f t="shared" si="37"/>
        <v>0</v>
      </c>
      <c r="GZ148" s="440">
        <f t="shared" si="37"/>
        <v>0</v>
      </c>
      <c r="HA148" s="440"/>
      <c r="HB148" s="440"/>
      <c r="HC148" s="440"/>
      <c r="HD148" s="440"/>
      <c r="HE148" s="429">
        <f t="shared" si="28"/>
        <v>124</v>
      </c>
      <c r="HF148" s="429">
        <f>SUM(GW148*Baseline!$P$24,GX148*Baseline!$P$25,GY148*Baseline!$P$26,GZ148*Baseline!$P$27,HA148*Baseline!$P$28,HB148*Baseline!$P$29,HC148*Baseline!$P$30,HD148*Baseline!$P$31,Baseline!$P$23)</f>
        <v>626.18362874044828</v>
      </c>
      <c r="HG148" s="455" t="e">
        <f t="shared" si="29"/>
        <v>#DIV/0!</v>
      </c>
      <c r="HH148" s="429" t="e">
        <f>IF(HG148&lt;=Baseline!$J$13,1,0)</f>
        <v>#DIV/0!</v>
      </c>
      <c r="HI148" s="429">
        <f t="shared" si="30"/>
        <v>392105.93690255558</v>
      </c>
      <c r="HJ148" s="429">
        <f t="shared" si="25"/>
        <v>48910903.069173105</v>
      </c>
      <c r="HK148" s="429">
        <f t="shared" si="26"/>
        <v>58061606.033611111</v>
      </c>
      <c r="HL148" s="429" t="str">
        <f>IF(HM148=Reference!$I$12,(HF148-GV148),"")</f>
        <v/>
      </c>
      <c r="HM148" s="429" t="str">
        <f>Reference!I148</f>
        <v/>
      </c>
      <c r="HN148" s="429" t="str">
        <f t="shared" si="31"/>
        <v/>
      </c>
    </row>
    <row r="149" spans="189:222" ht="17.25" customHeight="1" x14ac:dyDescent="0.35">
      <c r="GG149" s="432"/>
      <c r="GJ149" s="429" t="str">
        <f>IF(GK149=$GJ$15,$GJ$15,IF(GJ$24=HF$4,SUM(GK$25:GK149),SUM(GL$25:GL149)))</f>
        <v>N</v>
      </c>
      <c r="GK149" s="438" t="str">
        <f>IFERROR('!!'!G149-'!!'!D149,$GJ$15)</f>
        <v>N</v>
      </c>
      <c r="GL149" s="429" t="str">
        <f t="shared" si="27"/>
        <v>N</v>
      </c>
      <c r="GM149" s="438">
        <f>IFERROR(('!!'!$D149)*('!!'!W149/('!!'!$G149)),0)</f>
        <v>0</v>
      </c>
      <c r="GN149" s="438">
        <f>IFERROR(('!!'!$D149)*('!!'!X149/('!!'!$G149)),0)</f>
        <v>0</v>
      </c>
      <c r="GO149" s="438">
        <f>IFERROR(('!!'!$D149)*('!!'!Y149/('!!'!$G149)),0)</f>
        <v>0</v>
      </c>
      <c r="GP149" s="438">
        <f>IFERROR(('!!'!$D149)*('!!'!Z148/('!!'!$G149)),0)</f>
        <v>0</v>
      </c>
      <c r="GQ149" s="438">
        <f>IFERROR(('!!'!$D149)*('!!'!Q149/('!!'!$G149)),0)</f>
        <v>0</v>
      </c>
      <c r="GR149" s="429">
        <v>1</v>
      </c>
      <c r="GS149" s="429">
        <v>2</v>
      </c>
      <c r="GT149" s="432">
        <f>Monitoring!C149</f>
        <v>0</v>
      </c>
      <c r="GU149" s="432">
        <f>Reference!$C149</f>
        <v>0</v>
      </c>
      <c r="GV149" s="429">
        <f>Reference!$D149</f>
        <v>0</v>
      </c>
      <c r="GW149" s="440">
        <f t="shared" si="37"/>
        <v>0</v>
      </c>
      <c r="GX149" s="440">
        <f t="shared" si="37"/>
        <v>0</v>
      </c>
      <c r="GY149" s="440">
        <f t="shared" si="37"/>
        <v>0</v>
      </c>
      <c r="GZ149" s="440">
        <f t="shared" si="37"/>
        <v>0</v>
      </c>
      <c r="HA149" s="440"/>
      <c r="HB149" s="440"/>
      <c r="HC149" s="440"/>
      <c r="HD149" s="440"/>
      <c r="HE149" s="429">
        <f t="shared" si="28"/>
        <v>125</v>
      </c>
      <c r="HF149" s="429">
        <f>SUM(GW149*Baseline!$P$24,GX149*Baseline!$P$25,GY149*Baseline!$P$26,GZ149*Baseline!$P$27,HA149*Baseline!$P$28,HB149*Baseline!$P$29,HC149*Baseline!$P$30,HD149*Baseline!$P$31,Baseline!$P$23)</f>
        <v>626.18362874044828</v>
      </c>
      <c r="HG149" s="455" t="e">
        <f t="shared" si="29"/>
        <v>#DIV/0!</v>
      </c>
      <c r="HH149" s="429" t="e">
        <f>IF(HG149&lt;=Baseline!$J$13,1,0)</f>
        <v>#DIV/0!</v>
      </c>
      <c r="HI149" s="429">
        <f t="shared" si="30"/>
        <v>392105.93690255558</v>
      </c>
      <c r="HJ149" s="429">
        <f t="shared" si="25"/>
        <v>48910903.069173105</v>
      </c>
      <c r="HK149" s="429">
        <f t="shared" si="26"/>
        <v>58061606.033611111</v>
      </c>
      <c r="HL149" s="429" t="str">
        <f>IF(HM149=Reference!$I$12,(HF149-GV149),"")</f>
        <v/>
      </c>
      <c r="HM149" s="429" t="str">
        <f>Reference!I149</f>
        <v/>
      </c>
      <c r="HN149" s="429" t="str">
        <f t="shared" si="31"/>
        <v/>
      </c>
    </row>
    <row r="150" spans="189:222" ht="17.25" customHeight="1" x14ac:dyDescent="0.35">
      <c r="GG150" s="432"/>
      <c r="GJ150" s="429" t="str">
        <f>IF(GK150=$GJ$15,$GJ$15,IF(GJ$24=HF$4,SUM(GK$25:GK150),SUM(GL$25:GL150)))</f>
        <v>N</v>
      </c>
      <c r="GK150" s="438" t="str">
        <f>IFERROR('!!'!G150-'!!'!D150,$GJ$15)</f>
        <v>N</v>
      </c>
      <c r="GL150" s="429" t="str">
        <f t="shared" si="27"/>
        <v>N</v>
      </c>
      <c r="GM150" s="438">
        <f>IFERROR(('!!'!$D150)*('!!'!W150/('!!'!$G150)),0)</f>
        <v>0</v>
      </c>
      <c r="GN150" s="438">
        <f>IFERROR(('!!'!$D150)*('!!'!X150/('!!'!$G150)),0)</f>
        <v>0</v>
      </c>
      <c r="GO150" s="438">
        <f>IFERROR(('!!'!$D150)*('!!'!Y150/('!!'!$G150)),0)</f>
        <v>0</v>
      </c>
      <c r="GP150" s="438">
        <f>IFERROR(('!!'!$D150)*('!!'!Z149/('!!'!$G150)),0)</f>
        <v>0</v>
      </c>
      <c r="GQ150" s="438">
        <f>IFERROR(('!!'!$D150)*('!!'!Q150/('!!'!$G150)),0)</f>
        <v>0</v>
      </c>
      <c r="GR150" s="429">
        <v>1</v>
      </c>
      <c r="GS150" s="429">
        <v>2</v>
      </c>
      <c r="GT150" s="432">
        <f>Monitoring!C150</f>
        <v>0</v>
      </c>
      <c r="GU150" s="432">
        <f>Reference!$C150</f>
        <v>0</v>
      </c>
      <c r="GV150" s="429">
        <f>Reference!$D150</f>
        <v>0</v>
      </c>
      <c r="GW150" s="440">
        <f t="shared" si="37"/>
        <v>0</v>
      </c>
      <c r="GX150" s="440">
        <f t="shared" si="37"/>
        <v>0</v>
      </c>
      <c r="GY150" s="440">
        <f t="shared" si="37"/>
        <v>0</v>
      </c>
      <c r="GZ150" s="440">
        <f t="shared" si="37"/>
        <v>0</v>
      </c>
      <c r="HA150" s="440"/>
      <c r="HB150" s="440"/>
      <c r="HC150" s="440"/>
      <c r="HD150" s="440"/>
      <c r="HE150" s="429">
        <f t="shared" si="28"/>
        <v>126</v>
      </c>
      <c r="HF150" s="429">
        <f>SUM(GW150*Baseline!$P$24,GX150*Baseline!$P$25,GY150*Baseline!$P$26,GZ150*Baseline!$P$27,HA150*Baseline!$P$28,HB150*Baseline!$P$29,HC150*Baseline!$P$30,HD150*Baseline!$P$31,Baseline!$P$23)</f>
        <v>626.18362874044828</v>
      </c>
      <c r="HG150" s="455" t="e">
        <f t="shared" si="29"/>
        <v>#DIV/0!</v>
      </c>
      <c r="HH150" s="429" t="e">
        <f>IF(HG150&lt;=Baseline!$J$13,1,0)</f>
        <v>#DIV/0!</v>
      </c>
      <c r="HI150" s="429">
        <f t="shared" si="30"/>
        <v>392105.93690255558</v>
      </c>
      <c r="HJ150" s="429">
        <f t="shared" si="25"/>
        <v>48910903.069173105</v>
      </c>
      <c r="HK150" s="429">
        <f t="shared" si="26"/>
        <v>58061606.033611111</v>
      </c>
      <c r="HL150" s="429" t="str">
        <f>IF(HM150=Reference!$I$12,(HF150-GV150),"")</f>
        <v/>
      </c>
      <c r="HM150" s="429" t="str">
        <f>Reference!I150</f>
        <v/>
      </c>
      <c r="HN150" s="429" t="str">
        <f t="shared" si="31"/>
        <v/>
      </c>
    </row>
    <row r="151" spans="189:222" ht="17.25" customHeight="1" x14ac:dyDescent="0.35">
      <c r="GG151" s="432"/>
      <c r="GJ151" s="429" t="str">
        <f>IF(GK151=$GJ$15,$GJ$15,IF(GJ$24=HF$4,SUM(GK$25:GK151),SUM(GL$25:GL151)))</f>
        <v>N</v>
      </c>
      <c r="GK151" s="438" t="str">
        <f>IFERROR('!!'!G151-'!!'!D151,$GJ$15)</f>
        <v>N</v>
      </c>
      <c r="GL151" s="429" t="str">
        <f t="shared" si="27"/>
        <v>N</v>
      </c>
      <c r="GM151" s="438">
        <f>IFERROR(('!!'!$D151)*('!!'!W151/('!!'!$G151)),0)</f>
        <v>0</v>
      </c>
      <c r="GN151" s="438">
        <f>IFERROR(('!!'!$D151)*('!!'!X151/('!!'!$G151)),0)</f>
        <v>0</v>
      </c>
      <c r="GO151" s="438">
        <f>IFERROR(('!!'!$D151)*('!!'!Y151/('!!'!$G151)),0)</f>
        <v>0</v>
      </c>
      <c r="GP151" s="438">
        <f>IFERROR(('!!'!$D151)*('!!'!Z150/('!!'!$G151)),0)</f>
        <v>0</v>
      </c>
      <c r="GQ151" s="438">
        <f>IFERROR(('!!'!$D151)*('!!'!Q151/('!!'!$G151)),0)</f>
        <v>0</v>
      </c>
      <c r="GR151" s="429">
        <v>1</v>
      </c>
      <c r="GS151" s="429">
        <v>2</v>
      </c>
      <c r="GT151" s="432">
        <f>Monitoring!C151</f>
        <v>0</v>
      </c>
      <c r="GU151" s="432">
        <f>Reference!$C151</f>
        <v>0</v>
      </c>
      <c r="GV151" s="429">
        <f>Reference!$D151</f>
        <v>0</v>
      </c>
      <c r="GW151" s="440">
        <f t="shared" si="37"/>
        <v>0</v>
      </c>
      <c r="GX151" s="440">
        <f t="shared" si="37"/>
        <v>0</v>
      </c>
      <c r="GY151" s="440">
        <f t="shared" si="37"/>
        <v>0</v>
      </c>
      <c r="GZ151" s="440">
        <f t="shared" si="37"/>
        <v>0</v>
      </c>
      <c r="HA151" s="440"/>
      <c r="HB151" s="440"/>
      <c r="HC151" s="440"/>
      <c r="HD151" s="440"/>
      <c r="HE151" s="429">
        <f t="shared" si="28"/>
        <v>127</v>
      </c>
      <c r="HF151" s="429">
        <f>SUM(GW151*Baseline!$P$24,GX151*Baseline!$P$25,GY151*Baseline!$P$26,GZ151*Baseline!$P$27,HA151*Baseline!$P$28,HB151*Baseline!$P$29,HC151*Baseline!$P$30,HD151*Baseline!$P$31,Baseline!$P$23)</f>
        <v>626.18362874044828</v>
      </c>
      <c r="HG151" s="455" t="e">
        <f t="shared" si="29"/>
        <v>#DIV/0!</v>
      </c>
      <c r="HH151" s="429" t="e">
        <f>IF(HG151&lt;=Baseline!$J$13,1,0)</f>
        <v>#DIV/0!</v>
      </c>
      <c r="HI151" s="429">
        <f t="shared" si="30"/>
        <v>392105.93690255558</v>
      </c>
      <c r="HJ151" s="429">
        <f t="shared" si="25"/>
        <v>48910903.069173105</v>
      </c>
      <c r="HK151" s="429">
        <f t="shared" si="26"/>
        <v>58061606.033611111</v>
      </c>
      <c r="HL151" s="429" t="str">
        <f>IF(HM151=Reference!$I$12,(HF151-GV151),"")</f>
        <v/>
      </c>
      <c r="HM151" s="429" t="str">
        <f>Reference!I151</f>
        <v/>
      </c>
      <c r="HN151" s="429" t="str">
        <f t="shared" si="31"/>
        <v/>
      </c>
    </row>
    <row r="152" spans="189:222" ht="17.25" customHeight="1" x14ac:dyDescent="0.35">
      <c r="GG152" s="432"/>
      <c r="GJ152" s="429" t="str">
        <f>IF(GK152=$GJ$15,$GJ$15,IF(GJ$24=HF$4,SUM(GK$25:GK152),SUM(GL$25:GL152)))</f>
        <v>N</v>
      </c>
      <c r="GK152" s="438" t="str">
        <f>IFERROR('!!'!G152-'!!'!D152,$GJ$15)</f>
        <v>N</v>
      </c>
      <c r="GL152" s="429" t="str">
        <f t="shared" si="27"/>
        <v>N</v>
      </c>
      <c r="GM152" s="438">
        <f>IFERROR(('!!'!$D152)*('!!'!W152/('!!'!$G152)),0)</f>
        <v>0</v>
      </c>
      <c r="GN152" s="438">
        <f>IFERROR(('!!'!$D152)*('!!'!X152/('!!'!$G152)),0)</f>
        <v>0</v>
      </c>
      <c r="GO152" s="438">
        <f>IFERROR(('!!'!$D152)*('!!'!Y152/('!!'!$G152)),0)</f>
        <v>0</v>
      </c>
      <c r="GP152" s="438">
        <f>IFERROR(('!!'!$D152)*('!!'!Z151/('!!'!$G152)),0)</f>
        <v>0</v>
      </c>
      <c r="GQ152" s="438">
        <f>IFERROR(('!!'!$D152)*('!!'!Q152/('!!'!$G152)),0)</f>
        <v>0</v>
      </c>
      <c r="GR152" s="429">
        <v>1</v>
      </c>
      <c r="GS152" s="429">
        <v>2</v>
      </c>
      <c r="GT152" s="432">
        <f>Monitoring!C152</f>
        <v>0</v>
      </c>
      <c r="GU152" s="432">
        <f>Reference!$C152</f>
        <v>0</v>
      </c>
      <c r="GV152" s="429">
        <f>Reference!$D152</f>
        <v>0</v>
      </c>
      <c r="GW152" s="440">
        <f t="shared" si="37"/>
        <v>0</v>
      </c>
      <c r="GX152" s="440">
        <f t="shared" si="37"/>
        <v>0</v>
      </c>
      <c r="GY152" s="440">
        <f t="shared" si="37"/>
        <v>0</v>
      </c>
      <c r="GZ152" s="440">
        <f t="shared" si="37"/>
        <v>0</v>
      </c>
      <c r="HA152" s="440"/>
      <c r="HB152" s="440"/>
      <c r="HC152" s="440"/>
      <c r="HD152" s="440"/>
      <c r="HE152" s="429">
        <f t="shared" si="28"/>
        <v>128</v>
      </c>
      <c r="HF152" s="429">
        <f>SUM(GW152*Baseline!$P$24,GX152*Baseline!$P$25,GY152*Baseline!$P$26,GZ152*Baseline!$P$27,HA152*Baseline!$P$28,HB152*Baseline!$P$29,HC152*Baseline!$P$30,HD152*Baseline!$P$31,Baseline!$P$23)</f>
        <v>626.18362874044828</v>
      </c>
      <c r="HG152" s="455" t="e">
        <f t="shared" si="29"/>
        <v>#DIV/0!</v>
      </c>
      <c r="HH152" s="429" t="e">
        <f>IF(HG152&lt;=Baseline!$J$13,1,0)</f>
        <v>#DIV/0!</v>
      </c>
      <c r="HI152" s="429">
        <f t="shared" si="30"/>
        <v>392105.93690255558</v>
      </c>
      <c r="HJ152" s="429">
        <f t="shared" si="25"/>
        <v>48910903.069173105</v>
      </c>
      <c r="HK152" s="429">
        <f t="shared" si="26"/>
        <v>58061606.033611111</v>
      </c>
      <c r="HL152" s="429" t="str">
        <f>IF(HM152=Reference!$I$12,(HF152-GV152),"")</f>
        <v/>
      </c>
      <c r="HM152" s="429" t="str">
        <f>Reference!I152</f>
        <v/>
      </c>
      <c r="HN152" s="429" t="str">
        <f t="shared" si="31"/>
        <v/>
      </c>
    </row>
    <row r="153" spans="189:222" ht="17.25" customHeight="1" x14ac:dyDescent="0.35">
      <c r="GG153" s="432"/>
      <c r="GJ153" s="429" t="str">
        <f>IF(GK153=$GJ$15,$GJ$15,IF(GJ$24=HF$4,SUM(GK$25:GK153),SUM(GL$25:GL153)))</f>
        <v>N</v>
      </c>
      <c r="GK153" s="438" t="str">
        <f>IFERROR('!!'!G153-'!!'!D153,$GJ$15)</f>
        <v>N</v>
      </c>
      <c r="GL153" s="429" t="str">
        <f t="shared" si="27"/>
        <v>N</v>
      </c>
      <c r="GM153" s="438">
        <f>IFERROR(('!!'!$D153)*('!!'!W153/('!!'!$G153)),0)</f>
        <v>0</v>
      </c>
      <c r="GN153" s="438">
        <f>IFERROR(('!!'!$D153)*('!!'!X153/('!!'!$G153)),0)</f>
        <v>0</v>
      </c>
      <c r="GO153" s="438">
        <f>IFERROR(('!!'!$D153)*('!!'!Y153/('!!'!$G153)),0)</f>
        <v>0</v>
      </c>
      <c r="GP153" s="438">
        <f>IFERROR(('!!'!$D153)*('!!'!Z152/('!!'!$G153)),0)</f>
        <v>0</v>
      </c>
      <c r="GQ153" s="438">
        <f>IFERROR(('!!'!$D153)*('!!'!Q153/('!!'!$G153)),0)</f>
        <v>0</v>
      </c>
      <c r="GR153" s="429">
        <v>1</v>
      </c>
      <c r="GS153" s="429">
        <v>2</v>
      </c>
      <c r="GT153" s="432">
        <f>Monitoring!C153</f>
        <v>0</v>
      </c>
      <c r="GU153" s="432">
        <f>Reference!$C153</f>
        <v>0</v>
      </c>
      <c r="GV153" s="429">
        <f>Reference!$D153</f>
        <v>0</v>
      </c>
      <c r="GW153" s="440">
        <f t="shared" si="37"/>
        <v>0</v>
      </c>
      <c r="GX153" s="440">
        <f t="shared" si="37"/>
        <v>0</v>
      </c>
      <c r="GY153" s="440">
        <f t="shared" si="37"/>
        <v>0</v>
      </c>
      <c r="GZ153" s="440">
        <f t="shared" si="37"/>
        <v>0</v>
      </c>
      <c r="HA153" s="440"/>
      <c r="HB153" s="440"/>
      <c r="HC153" s="440"/>
      <c r="HD153" s="440"/>
      <c r="HE153" s="429">
        <f t="shared" si="28"/>
        <v>129</v>
      </c>
      <c r="HF153" s="429">
        <f>SUM(GW153*Baseline!$P$24,GX153*Baseline!$P$25,GY153*Baseline!$P$26,GZ153*Baseline!$P$27,HA153*Baseline!$P$28,HB153*Baseline!$P$29,HC153*Baseline!$P$30,HD153*Baseline!$P$31,Baseline!$P$23)</f>
        <v>626.18362874044828</v>
      </c>
      <c r="HG153" s="455" t="e">
        <f t="shared" si="29"/>
        <v>#DIV/0!</v>
      </c>
      <c r="HH153" s="429" t="e">
        <f>IF(HG153&lt;=Baseline!$J$13,1,0)</f>
        <v>#DIV/0!</v>
      </c>
      <c r="HI153" s="429">
        <f t="shared" si="30"/>
        <v>392105.93690255558</v>
      </c>
      <c r="HJ153" s="429">
        <f t="shared" ref="HJ153:HJ216" si="38">(HF153-$HG$17)^2</f>
        <v>48910903.069173105</v>
      </c>
      <c r="HK153" s="429">
        <f t="shared" ref="HK153:HK216" si="39">(GV153-$HG$17)^2</f>
        <v>58061606.033611111</v>
      </c>
      <c r="HL153" s="429" t="str">
        <f>IF(HM153=Reference!$I$12,(HF153-GV153),"")</f>
        <v/>
      </c>
      <c r="HM153" s="429" t="str">
        <f>Reference!I153</f>
        <v/>
      </c>
      <c r="HN153" s="429" t="str">
        <f t="shared" si="31"/>
        <v/>
      </c>
    </row>
    <row r="154" spans="189:222" ht="17.25" customHeight="1" x14ac:dyDescent="0.35">
      <c r="GG154" s="432"/>
      <c r="GJ154" s="429" t="str">
        <f>IF(GK154=$GJ$15,$GJ$15,IF(GJ$24=HF$4,SUM(GK$25:GK154),SUM(GL$25:GL154)))</f>
        <v>N</v>
      </c>
      <c r="GK154" s="438" t="str">
        <f>IFERROR('!!'!G154-'!!'!D154,$GJ$15)</f>
        <v>N</v>
      </c>
      <c r="GL154" s="429" t="str">
        <f t="shared" ref="GL154:GL217" si="40">IFERROR(GK154^2^(1/2),"N")</f>
        <v>N</v>
      </c>
      <c r="GM154" s="438">
        <f>IFERROR(('!!'!$D154)*('!!'!W154/('!!'!$G154)),0)</f>
        <v>0</v>
      </c>
      <c r="GN154" s="438">
        <f>IFERROR(('!!'!$D154)*('!!'!X154/('!!'!$G154)),0)</f>
        <v>0</v>
      </c>
      <c r="GO154" s="438">
        <f>IFERROR(('!!'!$D154)*('!!'!Y154/('!!'!$G154)),0)</f>
        <v>0</v>
      </c>
      <c r="GP154" s="438">
        <f>IFERROR(('!!'!$D154)*('!!'!Z153/('!!'!$G154)),0)</f>
        <v>0</v>
      </c>
      <c r="GQ154" s="438">
        <f>IFERROR(('!!'!$D154)*('!!'!Q154/('!!'!$G154)),0)</f>
        <v>0</v>
      </c>
      <c r="GR154" s="429">
        <v>1</v>
      </c>
      <c r="GS154" s="429">
        <v>2</v>
      </c>
      <c r="GT154" s="432">
        <f>Monitoring!C154</f>
        <v>0</v>
      </c>
      <c r="GU154" s="432">
        <f>Reference!$C154</f>
        <v>0</v>
      </c>
      <c r="GV154" s="429">
        <f>Reference!$D154</f>
        <v>0</v>
      </c>
      <c r="GW154" s="440">
        <f t="shared" si="37"/>
        <v>0</v>
      </c>
      <c r="GX154" s="440">
        <f t="shared" si="37"/>
        <v>0</v>
      </c>
      <c r="GY154" s="440">
        <f t="shared" si="37"/>
        <v>0</v>
      </c>
      <c r="GZ154" s="440">
        <f t="shared" si="37"/>
        <v>0</v>
      </c>
      <c r="HA154" s="440"/>
      <c r="HB154" s="440"/>
      <c r="HC154" s="440"/>
      <c r="HD154" s="440"/>
      <c r="HE154" s="429">
        <f t="shared" ref="HE154:HE217" si="41">ROW(HE154)-$HE$24</f>
        <v>130</v>
      </c>
      <c r="HF154" s="429">
        <f>SUM(GW154*Baseline!$P$24,GX154*Baseline!$P$25,GY154*Baseline!$P$26,GZ154*Baseline!$P$27,HA154*Baseline!$P$28,HB154*Baseline!$P$29,HC154*Baseline!$P$30,HD154*Baseline!$P$31,Baseline!$P$23)</f>
        <v>626.18362874044828</v>
      </c>
      <c r="HG154" s="455" t="e">
        <f t="shared" ref="HG154:HG217" si="42">IF(HF154=0,#N/A,ABS((GV154-HF154)/GV154))</f>
        <v>#DIV/0!</v>
      </c>
      <c r="HH154" s="429" t="e">
        <f>IF(HG154&lt;=Baseline!$J$13,1,0)</f>
        <v>#DIV/0!</v>
      </c>
      <c r="HI154" s="429">
        <f t="shared" ref="HI154:HI217" si="43">(GV154-HF154)^2</f>
        <v>392105.93690255558</v>
      </c>
      <c r="HJ154" s="429">
        <f t="shared" si="38"/>
        <v>48910903.069173105</v>
      </c>
      <c r="HK154" s="429">
        <f t="shared" si="39"/>
        <v>58061606.033611111</v>
      </c>
      <c r="HL154" s="429" t="str">
        <f>IF(HM154=Reference!$I$12,(HF154-GV154),"")</f>
        <v/>
      </c>
      <c r="HM154" s="429" t="str">
        <f>Reference!I154</f>
        <v/>
      </c>
      <c r="HN154" s="429" t="str">
        <f t="shared" ref="HN154:HN217" si="44">IFERROR(HL154-0.00001*$HQ$20,"")</f>
        <v/>
      </c>
    </row>
    <row r="155" spans="189:222" ht="17.25" customHeight="1" x14ac:dyDescent="0.35">
      <c r="GG155" s="432"/>
      <c r="GJ155" s="429" t="str">
        <f>IF(GK155=$GJ$15,$GJ$15,IF(GJ$24=HF$4,SUM(GK$25:GK155),SUM(GL$25:GL155)))</f>
        <v>N</v>
      </c>
      <c r="GK155" s="438" t="str">
        <f>IFERROR('!!'!G155-'!!'!D155,$GJ$15)</f>
        <v>N</v>
      </c>
      <c r="GL155" s="429" t="str">
        <f t="shared" si="40"/>
        <v>N</v>
      </c>
      <c r="GM155" s="438">
        <f>IFERROR(('!!'!$D155)*('!!'!W155/('!!'!$G155)),0)</f>
        <v>0</v>
      </c>
      <c r="GN155" s="438">
        <f>IFERROR(('!!'!$D155)*('!!'!X155/('!!'!$G155)),0)</f>
        <v>0</v>
      </c>
      <c r="GO155" s="438">
        <f>IFERROR(('!!'!$D155)*('!!'!Y155/('!!'!$G155)),0)</f>
        <v>0</v>
      </c>
      <c r="GP155" s="438">
        <f>IFERROR(('!!'!$D155)*('!!'!Z154/('!!'!$G155)),0)</f>
        <v>0</v>
      </c>
      <c r="GQ155" s="438">
        <f>IFERROR(('!!'!$D155)*('!!'!Q155/('!!'!$G155)),0)</f>
        <v>0</v>
      </c>
      <c r="GR155" s="429">
        <v>1</v>
      </c>
      <c r="GS155" s="429">
        <v>2</v>
      </c>
      <c r="GT155" s="432">
        <f>Monitoring!C155</f>
        <v>0</v>
      </c>
      <c r="GU155" s="432">
        <f>Reference!$C155</f>
        <v>0</v>
      </c>
      <c r="GV155" s="429">
        <f>Reference!$D155</f>
        <v>0</v>
      </c>
      <c r="GW155" s="440">
        <f t="shared" ref="GW155:GZ164" si="45">IFERROR(VLOOKUP($GU155,Daten.B,GW$22,FALSE)^GW$23,0)</f>
        <v>0</v>
      </c>
      <c r="GX155" s="440">
        <f t="shared" si="45"/>
        <v>0</v>
      </c>
      <c r="GY155" s="440">
        <f t="shared" si="45"/>
        <v>0</v>
      </c>
      <c r="GZ155" s="440">
        <f t="shared" si="45"/>
        <v>0</v>
      </c>
      <c r="HA155" s="440"/>
      <c r="HB155" s="440"/>
      <c r="HC155" s="440"/>
      <c r="HD155" s="440"/>
      <c r="HE155" s="429">
        <f t="shared" si="41"/>
        <v>131</v>
      </c>
      <c r="HF155" s="429">
        <f>SUM(GW155*Baseline!$P$24,GX155*Baseline!$P$25,GY155*Baseline!$P$26,GZ155*Baseline!$P$27,HA155*Baseline!$P$28,HB155*Baseline!$P$29,HC155*Baseline!$P$30,HD155*Baseline!$P$31,Baseline!$P$23)</f>
        <v>626.18362874044828</v>
      </c>
      <c r="HG155" s="455" t="e">
        <f t="shared" si="42"/>
        <v>#DIV/0!</v>
      </c>
      <c r="HH155" s="429" t="e">
        <f>IF(HG155&lt;=Baseline!$J$13,1,0)</f>
        <v>#DIV/0!</v>
      </c>
      <c r="HI155" s="429">
        <f t="shared" si="43"/>
        <v>392105.93690255558</v>
      </c>
      <c r="HJ155" s="429">
        <f t="shared" si="38"/>
        <v>48910903.069173105</v>
      </c>
      <c r="HK155" s="429">
        <f t="shared" si="39"/>
        <v>58061606.033611111</v>
      </c>
      <c r="HL155" s="429" t="str">
        <f>IF(HM155=Reference!$I$12,(HF155-GV155),"")</f>
        <v/>
      </c>
      <c r="HM155" s="429" t="str">
        <f>Reference!I155</f>
        <v/>
      </c>
      <c r="HN155" s="429" t="str">
        <f t="shared" si="44"/>
        <v/>
      </c>
    </row>
    <row r="156" spans="189:222" ht="17.25" customHeight="1" x14ac:dyDescent="0.35">
      <c r="GG156" s="432"/>
      <c r="GJ156" s="429" t="str">
        <f>IF(GK156=$GJ$15,$GJ$15,IF(GJ$24=HF$4,SUM(GK$25:GK156),SUM(GL$25:GL156)))</f>
        <v>N</v>
      </c>
      <c r="GK156" s="438" t="str">
        <f>IFERROR('!!'!G156-'!!'!D156,$GJ$15)</f>
        <v>N</v>
      </c>
      <c r="GL156" s="429" t="str">
        <f t="shared" si="40"/>
        <v>N</v>
      </c>
      <c r="GM156" s="438">
        <f>IFERROR(('!!'!$D156)*('!!'!W156/('!!'!$G156)),0)</f>
        <v>0</v>
      </c>
      <c r="GN156" s="438">
        <f>IFERROR(('!!'!$D156)*('!!'!X156/('!!'!$G156)),0)</f>
        <v>0</v>
      </c>
      <c r="GO156" s="438">
        <f>IFERROR(('!!'!$D156)*('!!'!Y156/('!!'!$G156)),0)</f>
        <v>0</v>
      </c>
      <c r="GP156" s="438">
        <f>IFERROR(('!!'!$D156)*('!!'!Z155/('!!'!$G156)),0)</f>
        <v>0</v>
      </c>
      <c r="GQ156" s="438">
        <f>IFERROR(('!!'!$D156)*('!!'!Q156/('!!'!$G156)),0)</f>
        <v>0</v>
      </c>
      <c r="GR156" s="429">
        <v>1</v>
      </c>
      <c r="GS156" s="429">
        <v>2</v>
      </c>
      <c r="GT156" s="432">
        <f>Monitoring!C156</f>
        <v>0</v>
      </c>
      <c r="GU156" s="432">
        <f>Reference!$C156</f>
        <v>0</v>
      </c>
      <c r="GV156" s="429">
        <f>Reference!$D156</f>
        <v>0</v>
      </c>
      <c r="GW156" s="440">
        <f t="shared" si="45"/>
        <v>0</v>
      </c>
      <c r="GX156" s="440">
        <f t="shared" si="45"/>
        <v>0</v>
      </c>
      <c r="GY156" s="440">
        <f t="shared" si="45"/>
        <v>0</v>
      </c>
      <c r="GZ156" s="440">
        <f t="shared" si="45"/>
        <v>0</v>
      </c>
      <c r="HA156" s="440"/>
      <c r="HB156" s="440"/>
      <c r="HC156" s="440"/>
      <c r="HD156" s="440"/>
      <c r="HE156" s="429">
        <f t="shared" si="41"/>
        <v>132</v>
      </c>
      <c r="HF156" s="429">
        <f>SUM(GW156*Baseline!$P$24,GX156*Baseline!$P$25,GY156*Baseline!$P$26,GZ156*Baseline!$P$27,HA156*Baseline!$P$28,HB156*Baseline!$P$29,HC156*Baseline!$P$30,HD156*Baseline!$P$31,Baseline!$P$23)</f>
        <v>626.18362874044828</v>
      </c>
      <c r="HG156" s="455" t="e">
        <f t="shared" si="42"/>
        <v>#DIV/0!</v>
      </c>
      <c r="HH156" s="429" t="e">
        <f>IF(HG156&lt;=Baseline!$J$13,1,0)</f>
        <v>#DIV/0!</v>
      </c>
      <c r="HI156" s="429">
        <f t="shared" si="43"/>
        <v>392105.93690255558</v>
      </c>
      <c r="HJ156" s="429">
        <f t="shared" si="38"/>
        <v>48910903.069173105</v>
      </c>
      <c r="HK156" s="429">
        <f t="shared" si="39"/>
        <v>58061606.033611111</v>
      </c>
      <c r="HL156" s="429" t="str">
        <f>IF(HM156=Reference!$I$12,(HF156-GV156),"")</f>
        <v/>
      </c>
      <c r="HM156" s="429" t="str">
        <f>Reference!I156</f>
        <v/>
      </c>
      <c r="HN156" s="429" t="str">
        <f t="shared" si="44"/>
        <v/>
      </c>
    </row>
    <row r="157" spans="189:222" ht="17.25" customHeight="1" x14ac:dyDescent="0.35">
      <c r="GG157" s="432"/>
      <c r="GJ157" s="429" t="str">
        <f>IF(GK157=$GJ$15,$GJ$15,IF(GJ$24=HF$4,SUM(GK$25:GK157),SUM(GL$25:GL157)))</f>
        <v>N</v>
      </c>
      <c r="GK157" s="438" t="str">
        <f>IFERROR('!!'!G157-'!!'!D157,$GJ$15)</f>
        <v>N</v>
      </c>
      <c r="GL157" s="429" t="str">
        <f t="shared" si="40"/>
        <v>N</v>
      </c>
      <c r="GM157" s="438">
        <f>IFERROR(('!!'!$D157)*('!!'!W157/('!!'!$G157)),0)</f>
        <v>0</v>
      </c>
      <c r="GN157" s="438">
        <f>IFERROR(('!!'!$D157)*('!!'!X157/('!!'!$G157)),0)</f>
        <v>0</v>
      </c>
      <c r="GO157" s="438">
        <f>IFERROR(('!!'!$D157)*('!!'!Y157/('!!'!$G157)),0)</f>
        <v>0</v>
      </c>
      <c r="GP157" s="438">
        <f>IFERROR(('!!'!$D157)*('!!'!Z156/('!!'!$G157)),0)</f>
        <v>0</v>
      </c>
      <c r="GQ157" s="438">
        <f>IFERROR(('!!'!$D157)*('!!'!Q157/('!!'!$G157)),0)</f>
        <v>0</v>
      </c>
      <c r="GR157" s="429">
        <v>1</v>
      </c>
      <c r="GS157" s="429">
        <v>2</v>
      </c>
      <c r="GT157" s="432">
        <f>Monitoring!C157</f>
        <v>0</v>
      </c>
      <c r="GU157" s="432">
        <f>Reference!$C157</f>
        <v>0</v>
      </c>
      <c r="GV157" s="429">
        <f>Reference!$D157</f>
        <v>0</v>
      </c>
      <c r="GW157" s="440">
        <f t="shared" si="45"/>
        <v>0</v>
      </c>
      <c r="GX157" s="440">
        <f t="shared" si="45"/>
        <v>0</v>
      </c>
      <c r="GY157" s="440">
        <f t="shared" si="45"/>
        <v>0</v>
      </c>
      <c r="GZ157" s="440">
        <f t="shared" si="45"/>
        <v>0</v>
      </c>
      <c r="HA157" s="440"/>
      <c r="HB157" s="440"/>
      <c r="HC157" s="440"/>
      <c r="HD157" s="440"/>
      <c r="HE157" s="429">
        <f t="shared" si="41"/>
        <v>133</v>
      </c>
      <c r="HF157" s="429">
        <f>SUM(GW157*Baseline!$P$24,GX157*Baseline!$P$25,GY157*Baseline!$P$26,GZ157*Baseline!$P$27,HA157*Baseline!$P$28,HB157*Baseline!$P$29,HC157*Baseline!$P$30,HD157*Baseline!$P$31,Baseline!$P$23)</f>
        <v>626.18362874044828</v>
      </c>
      <c r="HG157" s="455" t="e">
        <f t="shared" si="42"/>
        <v>#DIV/0!</v>
      </c>
      <c r="HH157" s="429" t="e">
        <f>IF(HG157&lt;=Baseline!$J$13,1,0)</f>
        <v>#DIV/0!</v>
      </c>
      <c r="HI157" s="429">
        <f t="shared" si="43"/>
        <v>392105.93690255558</v>
      </c>
      <c r="HJ157" s="429">
        <f t="shared" si="38"/>
        <v>48910903.069173105</v>
      </c>
      <c r="HK157" s="429">
        <f t="shared" si="39"/>
        <v>58061606.033611111</v>
      </c>
      <c r="HL157" s="429" t="str">
        <f>IF(HM157=Reference!$I$12,(HF157-GV157),"")</f>
        <v/>
      </c>
      <c r="HM157" s="429" t="str">
        <f>Reference!I157</f>
        <v/>
      </c>
      <c r="HN157" s="429" t="str">
        <f t="shared" si="44"/>
        <v/>
      </c>
    </row>
    <row r="158" spans="189:222" ht="17.25" customHeight="1" x14ac:dyDescent="0.35">
      <c r="GG158" s="432"/>
      <c r="GJ158" s="429" t="str">
        <f>IF(GK158=$GJ$15,$GJ$15,IF(GJ$24=HF$4,SUM(GK$25:GK158),SUM(GL$25:GL158)))</f>
        <v>N</v>
      </c>
      <c r="GK158" s="438" t="str">
        <f>IFERROR('!!'!G158-'!!'!D158,$GJ$15)</f>
        <v>N</v>
      </c>
      <c r="GL158" s="429" t="str">
        <f t="shared" si="40"/>
        <v>N</v>
      </c>
      <c r="GM158" s="438">
        <f>IFERROR(('!!'!$D158)*('!!'!W158/('!!'!$G158)),0)</f>
        <v>0</v>
      </c>
      <c r="GN158" s="438">
        <f>IFERROR(('!!'!$D158)*('!!'!X158/('!!'!$G158)),0)</f>
        <v>0</v>
      </c>
      <c r="GO158" s="438">
        <f>IFERROR(('!!'!$D158)*('!!'!Y158/('!!'!$G158)),0)</f>
        <v>0</v>
      </c>
      <c r="GP158" s="438">
        <f>IFERROR(('!!'!$D158)*('!!'!Z157/('!!'!$G158)),0)</f>
        <v>0</v>
      </c>
      <c r="GQ158" s="438">
        <f>IFERROR(('!!'!$D158)*('!!'!Q158/('!!'!$G158)),0)</f>
        <v>0</v>
      </c>
      <c r="GR158" s="429">
        <v>1</v>
      </c>
      <c r="GS158" s="429">
        <v>2</v>
      </c>
      <c r="GT158" s="432">
        <f>Monitoring!C158</f>
        <v>0</v>
      </c>
      <c r="GU158" s="432">
        <f>Reference!$C158</f>
        <v>0</v>
      </c>
      <c r="GV158" s="429">
        <f>Reference!$D158</f>
        <v>0</v>
      </c>
      <c r="GW158" s="440">
        <f t="shared" si="45"/>
        <v>0</v>
      </c>
      <c r="GX158" s="440">
        <f t="shared" si="45"/>
        <v>0</v>
      </c>
      <c r="GY158" s="440">
        <f t="shared" si="45"/>
        <v>0</v>
      </c>
      <c r="GZ158" s="440">
        <f t="shared" si="45"/>
        <v>0</v>
      </c>
      <c r="HA158" s="440"/>
      <c r="HB158" s="440"/>
      <c r="HC158" s="440"/>
      <c r="HD158" s="440"/>
      <c r="HE158" s="429">
        <f t="shared" si="41"/>
        <v>134</v>
      </c>
      <c r="HF158" s="429">
        <f>SUM(GW158*Baseline!$P$24,GX158*Baseline!$P$25,GY158*Baseline!$P$26,GZ158*Baseline!$P$27,HA158*Baseline!$P$28,HB158*Baseline!$P$29,HC158*Baseline!$P$30,HD158*Baseline!$P$31,Baseline!$P$23)</f>
        <v>626.18362874044828</v>
      </c>
      <c r="HG158" s="455" t="e">
        <f t="shared" si="42"/>
        <v>#DIV/0!</v>
      </c>
      <c r="HH158" s="429" t="e">
        <f>IF(HG158&lt;=Baseline!$J$13,1,0)</f>
        <v>#DIV/0!</v>
      </c>
      <c r="HI158" s="429">
        <f t="shared" si="43"/>
        <v>392105.93690255558</v>
      </c>
      <c r="HJ158" s="429">
        <f t="shared" si="38"/>
        <v>48910903.069173105</v>
      </c>
      <c r="HK158" s="429">
        <f t="shared" si="39"/>
        <v>58061606.033611111</v>
      </c>
      <c r="HL158" s="429" t="str">
        <f>IF(HM158=Reference!$I$12,(HF158-GV158),"")</f>
        <v/>
      </c>
      <c r="HM158" s="429" t="str">
        <f>Reference!I158</f>
        <v/>
      </c>
      <c r="HN158" s="429" t="str">
        <f t="shared" si="44"/>
        <v/>
      </c>
    </row>
    <row r="159" spans="189:222" ht="17.25" customHeight="1" x14ac:dyDescent="0.35">
      <c r="GG159" s="432"/>
      <c r="GJ159" s="429" t="str">
        <f>IF(GK159=$GJ$15,$GJ$15,IF(GJ$24=HF$4,SUM(GK$25:GK159),SUM(GL$25:GL159)))</f>
        <v>N</v>
      </c>
      <c r="GK159" s="438" t="str">
        <f>IFERROR('!!'!G159-'!!'!D159,$GJ$15)</f>
        <v>N</v>
      </c>
      <c r="GL159" s="429" t="str">
        <f t="shared" si="40"/>
        <v>N</v>
      </c>
      <c r="GM159" s="438">
        <f>IFERROR(('!!'!$D159)*('!!'!W159/('!!'!$G159)),0)</f>
        <v>0</v>
      </c>
      <c r="GN159" s="438">
        <f>IFERROR(('!!'!$D159)*('!!'!X159/('!!'!$G159)),0)</f>
        <v>0</v>
      </c>
      <c r="GO159" s="438">
        <f>IFERROR(('!!'!$D159)*('!!'!Y159/('!!'!$G159)),0)</f>
        <v>0</v>
      </c>
      <c r="GP159" s="438">
        <f>IFERROR(('!!'!$D159)*('!!'!Z158/('!!'!$G159)),0)</f>
        <v>0</v>
      </c>
      <c r="GQ159" s="438">
        <f>IFERROR(('!!'!$D159)*('!!'!Q159/('!!'!$G159)),0)</f>
        <v>0</v>
      </c>
      <c r="GR159" s="429">
        <v>1</v>
      </c>
      <c r="GS159" s="429">
        <v>2</v>
      </c>
      <c r="GT159" s="432">
        <f>Monitoring!C159</f>
        <v>0</v>
      </c>
      <c r="GU159" s="432">
        <f>Reference!$C159</f>
        <v>0</v>
      </c>
      <c r="GV159" s="429">
        <f>Reference!$D159</f>
        <v>0</v>
      </c>
      <c r="GW159" s="440">
        <f t="shared" si="45"/>
        <v>0</v>
      </c>
      <c r="GX159" s="440">
        <f t="shared" si="45"/>
        <v>0</v>
      </c>
      <c r="GY159" s="440">
        <f t="shared" si="45"/>
        <v>0</v>
      </c>
      <c r="GZ159" s="440">
        <f t="shared" si="45"/>
        <v>0</v>
      </c>
      <c r="HA159" s="440"/>
      <c r="HB159" s="440"/>
      <c r="HC159" s="440"/>
      <c r="HD159" s="440"/>
      <c r="HE159" s="429">
        <f t="shared" si="41"/>
        <v>135</v>
      </c>
      <c r="HF159" s="429">
        <f>SUM(GW159*Baseline!$P$24,GX159*Baseline!$P$25,GY159*Baseline!$P$26,GZ159*Baseline!$P$27,HA159*Baseline!$P$28,HB159*Baseline!$P$29,HC159*Baseline!$P$30,HD159*Baseline!$P$31,Baseline!$P$23)</f>
        <v>626.18362874044828</v>
      </c>
      <c r="HG159" s="455" t="e">
        <f t="shared" si="42"/>
        <v>#DIV/0!</v>
      </c>
      <c r="HH159" s="429" t="e">
        <f>IF(HG159&lt;=Baseline!$J$13,1,0)</f>
        <v>#DIV/0!</v>
      </c>
      <c r="HI159" s="429">
        <f t="shared" si="43"/>
        <v>392105.93690255558</v>
      </c>
      <c r="HJ159" s="429">
        <f t="shared" si="38"/>
        <v>48910903.069173105</v>
      </c>
      <c r="HK159" s="429">
        <f t="shared" si="39"/>
        <v>58061606.033611111</v>
      </c>
      <c r="HL159" s="429" t="str">
        <f>IF(HM159=Reference!$I$12,(HF159-GV159),"")</f>
        <v/>
      </c>
      <c r="HM159" s="429" t="str">
        <f>Reference!I159</f>
        <v/>
      </c>
      <c r="HN159" s="429" t="str">
        <f t="shared" si="44"/>
        <v/>
      </c>
    </row>
    <row r="160" spans="189:222" ht="17.25" customHeight="1" x14ac:dyDescent="0.35">
      <c r="GG160" s="432"/>
      <c r="GJ160" s="429" t="str">
        <f>IF(GK160=$GJ$15,$GJ$15,IF(GJ$24=HF$4,SUM(GK$25:GK160),SUM(GL$25:GL160)))</f>
        <v>N</v>
      </c>
      <c r="GK160" s="438" t="str">
        <f>IFERROR('!!'!G160-'!!'!D160,$GJ$15)</f>
        <v>N</v>
      </c>
      <c r="GL160" s="429" t="str">
        <f t="shared" si="40"/>
        <v>N</v>
      </c>
      <c r="GM160" s="438">
        <f>IFERROR(('!!'!$D160)*('!!'!W160/('!!'!$G160)),0)</f>
        <v>0</v>
      </c>
      <c r="GN160" s="438">
        <f>IFERROR(('!!'!$D160)*('!!'!X160/('!!'!$G160)),0)</f>
        <v>0</v>
      </c>
      <c r="GO160" s="438">
        <f>IFERROR(('!!'!$D160)*('!!'!Y160/('!!'!$G160)),0)</f>
        <v>0</v>
      </c>
      <c r="GP160" s="438">
        <f>IFERROR(('!!'!$D160)*('!!'!Z159/('!!'!$G160)),0)</f>
        <v>0</v>
      </c>
      <c r="GQ160" s="438">
        <f>IFERROR(('!!'!$D160)*('!!'!Q160/('!!'!$G160)),0)</f>
        <v>0</v>
      </c>
      <c r="GR160" s="429">
        <v>1</v>
      </c>
      <c r="GS160" s="429">
        <v>2</v>
      </c>
      <c r="GT160" s="432">
        <f>Monitoring!C160</f>
        <v>0</v>
      </c>
      <c r="GU160" s="432">
        <f>Reference!$C160</f>
        <v>0</v>
      </c>
      <c r="GV160" s="429">
        <f>Reference!$D160</f>
        <v>0</v>
      </c>
      <c r="GW160" s="440">
        <f t="shared" si="45"/>
        <v>0</v>
      </c>
      <c r="GX160" s="440">
        <f t="shared" si="45"/>
        <v>0</v>
      </c>
      <c r="GY160" s="440">
        <f t="shared" si="45"/>
        <v>0</v>
      </c>
      <c r="GZ160" s="440">
        <f t="shared" si="45"/>
        <v>0</v>
      </c>
      <c r="HA160" s="440"/>
      <c r="HB160" s="440"/>
      <c r="HC160" s="440"/>
      <c r="HD160" s="440"/>
      <c r="HE160" s="429">
        <f t="shared" si="41"/>
        <v>136</v>
      </c>
      <c r="HF160" s="429">
        <f>SUM(GW160*Baseline!$P$24,GX160*Baseline!$P$25,GY160*Baseline!$P$26,GZ160*Baseline!$P$27,HA160*Baseline!$P$28,HB160*Baseline!$P$29,HC160*Baseline!$P$30,HD160*Baseline!$P$31,Baseline!$P$23)</f>
        <v>626.18362874044828</v>
      </c>
      <c r="HG160" s="455" t="e">
        <f t="shared" si="42"/>
        <v>#DIV/0!</v>
      </c>
      <c r="HH160" s="429" t="e">
        <f>IF(HG160&lt;=Baseline!$J$13,1,0)</f>
        <v>#DIV/0!</v>
      </c>
      <c r="HI160" s="429">
        <f t="shared" si="43"/>
        <v>392105.93690255558</v>
      </c>
      <c r="HJ160" s="429">
        <f t="shared" si="38"/>
        <v>48910903.069173105</v>
      </c>
      <c r="HK160" s="429">
        <f t="shared" si="39"/>
        <v>58061606.033611111</v>
      </c>
      <c r="HL160" s="429" t="str">
        <f>IF(HM160=Reference!$I$12,(HF160-GV160),"")</f>
        <v/>
      </c>
      <c r="HM160" s="429" t="str">
        <f>Reference!I160</f>
        <v/>
      </c>
      <c r="HN160" s="429" t="str">
        <f t="shared" si="44"/>
        <v/>
      </c>
    </row>
    <row r="161" spans="189:222" ht="17.25" customHeight="1" x14ac:dyDescent="0.35">
      <c r="GG161" s="432"/>
      <c r="GJ161" s="429" t="str">
        <f>IF(GK161=$GJ$15,$GJ$15,IF(GJ$24=HF$4,SUM(GK$25:GK161),SUM(GL$25:GL161)))</f>
        <v>N</v>
      </c>
      <c r="GK161" s="438" t="str">
        <f>IFERROR('!!'!G161-'!!'!D161,$GJ$15)</f>
        <v>N</v>
      </c>
      <c r="GL161" s="429" t="str">
        <f t="shared" si="40"/>
        <v>N</v>
      </c>
      <c r="GM161" s="438">
        <f>IFERROR(('!!'!$D161)*('!!'!W161/('!!'!$G161)),0)</f>
        <v>0</v>
      </c>
      <c r="GN161" s="438">
        <f>IFERROR(('!!'!$D161)*('!!'!X161/('!!'!$G161)),0)</f>
        <v>0</v>
      </c>
      <c r="GO161" s="438">
        <f>IFERROR(('!!'!$D161)*('!!'!Y161/('!!'!$G161)),0)</f>
        <v>0</v>
      </c>
      <c r="GP161" s="438">
        <f>IFERROR(('!!'!$D161)*('!!'!Z160/('!!'!$G161)),0)</f>
        <v>0</v>
      </c>
      <c r="GQ161" s="438">
        <f>IFERROR(('!!'!$D161)*('!!'!Q161/('!!'!$G161)),0)</f>
        <v>0</v>
      </c>
      <c r="GR161" s="429">
        <v>1</v>
      </c>
      <c r="GS161" s="429">
        <v>2</v>
      </c>
      <c r="GT161" s="432">
        <f>Monitoring!C161</f>
        <v>0</v>
      </c>
      <c r="GU161" s="432">
        <f>Reference!$C161</f>
        <v>0</v>
      </c>
      <c r="GV161" s="429">
        <f>Reference!$D161</f>
        <v>0</v>
      </c>
      <c r="GW161" s="440">
        <f t="shared" si="45"/>
        <v>0</v>
      </c>
      <c r="GX161" s="440">
        <f t="shared" si="45"/>
        <v>0</v>
      </c>
      <c r="GY161" s="440">
        <f t="shared" si="45"/>
        <v>0</v>
      </c>
      <c r="GZ161" s="440">
        <f t="shared" si="45"/>
        <v>0</v>
      </c>
      <c r="HA161" s="440"/>
      <c r="HB161" s="440"/>
      <c r="HC161" s="440"/>
      <c r="HD161" s="440"/>
      <c r="HE161" s="429">
        <f t="shared" si="41"/>
        <v>137</v>
      </c>
      <c r="HF161" s="429">
        <f>SUM(GW161*Baseline!$P$24,GX161*Baseline!$P$25,GY161*Baseline!$P$26,GZ161*Baseline!$P$27,HA161*Baseline!$P$28,HB161*Baseline!$P$29,HC161*Baseline!$P$30,HD161*Baseline!$P$31,Baseline!$P$23)</f>
        <v>626.18362874044828</v>
      </c>
      <c r="HG161" s="455" t="e">
        <f t="shared" si="42"/>
        <v>#DIV/0!</v>
      </c>
      <c r="HH161" s="429" t="e">
        <f>IF(HG161&lt;=Baseline!$J$13,1,0)</f>
        <v>#DIV/0!</v>
      </c>
      <c r="HI161" s="429">
        <f t="shared" si="43"/>
        <v>392105.93690255558</v>
      </c>
      <c r="HJ161" s="429">
        <f t="shared" si="38"/>
        <v>48910903.069173105</v>
      </c>
      <c r="HK161" s="429">
        <f t="shared" si="39"/>
        <v>58061606.033611111</v>
      </c>
      <c r="HL161" s="429" t="str">
        <f>IF(HM161=Reference!$I$12,(HF161-GV161),"")</f>
        <v/>
      </c>
      <c r="HM161" s="429" t="str">
        <f>Reference!I161</f>
        <v/>
      </c>
      <c r="HN161" s="429" t="str">
        <f t="shared" si="44"/>
        <v/>
      </c>
    </row>
    <row r="162" spans="189:222" ht="17.25" customHeight="1" x14ac:dyDescent="0.35">
      <c r="GG162" s="432"/>
      <c r="GJ162" s="429" t="str">
        <f>IF(GK162=$GJ$15,$GJ$15,IF(GJ$24=HF$4,SUM(GK$25:GK162),SUM(GL$25:GL162)))</f>
        <v>N</v>
      </c>
      <c r="GK162" s="438" t="str">
        <f>IFERROR('!!'!G162-'!!'!D162,$GJ$15)</f>
        <v>N</v>
      </c>
      <c r="GL162" s="429" t="str">
        <f t="shared" si="40"/>
        <v>N</v>
      </c>
      <c r="GM162" s="438">
        <f>IFERROR(('!!'!$D162)*('!!'!W162/('!!'!$G162)),0)</f>
        <v>0</v>
      </c>
      <c r="GN162" s="438">
        <f>IFERROR(('!!'!$D162)*('!!'!X162/('!!'!$G162)),0)</f>
        <v>0</v>
      </c>
      <c r="GO162" s="438">
        <f>IFERROR(('!!'!$D162)*('!!'!Y162/('!!'!$G162)),0)</f>
        <v>0</v>
      </c>
      <c r="GP162" s="438">
        <f>IFERROR(('!!'!$D162)*('!!'!Z161/('!!'!$G162)),0)</f>
        <v>0</v>
      </c>
      <c r="GQ162" s="438">
        <f>IFERROR(('!!'!$D162)*('!!'!Q162/('!!'!$G162)),0)</f>
        <v>0</v>
      </c>
      <c r="GR162" s="429">
        <v>1</v>
      </c>
      <c r="GS162" s="429">
        <v>2</v>
      </c>
      <c r="GT162" s="432">
        <f>Monitoring!C162</f>
        <v>0</v>
      </c>
      <c r="GU162" s="432">
        <f>Reference!$C162</f>
        <v>0</v>
      </c>
      <c r="GV162" s="429">
        <f>Reference!$D162</f>
        <v>0</v>
      </c>
      <c r="GW162" s="440">
        <f t="shared" si="45"/>
        <v>0</v>
      </c>
      <c r="GX162" s="440">
        <f t="shared" si="45"/>
        <v>0</v>
      </c>
      <c r="GY162" s="440">
        <f t="shared" si="45"/>
        <v>0</v>
      </c>
      <c r="GZ162" s="440">
        <f t="shared" si="45"/>
        <v>0</v>
      </c>
      <c r="HA162" s="440"/>
      <c r="HB162" s="440"/>
      <c r="HC162" s="440"/>
      <c r="HD162" s="440"/>
      <c r="HE162" s="429">
        <f t="shared" si="41"/>
        <v>138</v>
      </c>
      <c r="HF162" s="429">
        <f>SUM(GW162*Baseline!$P$24,GX162*Baseline!$P$25,GY162*Baseline!$P$26,GZ162*Baseline!$P$27,HA162*Baseline!$P$28,HB162*Baseline!$P$29,HC162*Baseline!$P$30,HD162*Baseline!$P$31,Baseline!$P$23)</f>
        <v>626.18362874044828</v>
      </c>
      <c r="HG162" s="455" t="e">
        <f t="shared" si="42"/>
        <v>#DIV/0!</v>
      </c>
      <c r="HH162" s="429" t="e">
        <f>IF(HG162&lt;=Baseline!$J$13,1,0)</f>
        <v>#DIV/0!</v>
      </c>
      <c r="HI162" s="429">
        <f t="shared" si="43"/>
        <v>392105.93690255558</v>
      </c>
      <c r="HJ162" s="429">
        <f t="shared" si="38"/>
        <v>48910903.069173105</v>
      </c>
      <c r="HK162" s="429">
        <f t="shared" si="39"/>
        <v>58061606.033611111</v>
      </c>
      <c r="HL162" s="429" t="str">
        <f>IF(HM162=Reference!$I$12,(HF162-GV162),"")</f>
        <v/>
      </c>
      <c r="HM162" s="429" t="str">
        <f>Reference!I162</f>
        <v/>
      </c>
      <c r="HN162" s="429" t="str">
        <f t="shared" si="44"/>
        <v/>
      </c>
    </row>
    <row r="163" spans="189:222" ht="17.25" customHeight="1" x14ac:dyDescent="0.35">
      <c r="GG163" s="432"/>
      <c r="GJ163" s="429" t="str">
        <f>IF(GK163=$GJ$15,$GJ$15,IF(GJ$24=HF$4,SUM(GK$25:GK163),SUM(GL$25:GL163)))</f>
        <v>N</v>
      </c>
      <c r="GK163" s="438" t="str">
        <f>IFERROR('!!'!G163-'!!'!D163,$GJ$15)</f>
        <v>N</v>
      </c>
      <c r="GL163" s="429" t="str">
        <f t="shared" si="40"/>
        <v>N</v>
      </c>
      <c r="GM163" s="438">
        <f>IFERROR(('!!'!$D163)*('!!'!W163/('!!'!$G163)),0)</f>
        <v>0</v>
      </c>
      <c r="GN163" s="438">
        <f>IFERROR(('!!'!$D163)*('!!'!X163/('!!'!$G163)),0)</f>
        <v>0</v>
      </c>
      <c r="GO163" s="438">
        <f>IFERROR(('!!'!$D163)*('!!'!Y163/('!!'!$G163)),0)</f>
        <v>0</v>
      </c>
      <c r="GP163" s="438">
        <f>IFERROR(('!!'!$D163)*('!!'!Z162/('!!'!$G163)),0)</f>
        <v>0</v>
      </c>
      <c r="GQ163" s="438">
        <f>IFERROR(('!!'!$D163)*('!!'!Q163/('!!'!$G163)),0)</f>
        <v>0</v>
      </c>
      <c r="GR163" s="429">
        <v>1</v>
      </c>
      <c r="GS163" s="429">
        <v>2</v>
      </c>
      <c r="GT163" s="432">
        <f>Monitoring!C163</f>
        <v>0</v>
      </c>
      <c r="GU163" s="432">
        <f>Reference!$C163</f>
        <v>0</v>
      </c>
      <c r="GV163" s="429">
        <f>Reference!$D163</f>
        <v>0</v>
      </c>
      <c r="GW163" s="440">
        <f t="shared" si="45"/>
        <v>0</v>
      </c>
      <c r="GX163" s="440">
        <f t="shared" si="45"/>
        <v>0</v>
      </c>
      <c r="GY163" s="440">
        <f t="shared" si="45"/>
        <v>0</v>
      </c>
      <c r="GZ163" s="440">
        <f t="shared" si="45"/>
        <v>0</v>
      </c>
      <c r="HA163" s="440"/>
      <c r="HB163" s="440"/>
      <c r="HC163" s="440"/>
      <c r="HD163" s="440"/>
      <c r="HE163" s="429">
        <f t="shared" si="41"/>
        <v>139</v>
      </c>
      <c r="HF163" s="429">
        <f>SUM(GW163*Baseline!$P$24,GX163*Baseline!$P$25,GY163*Baseline!$P$26,GZ163*Baseline!$P$27,HA163*Baseline!$P$28,HB163*Baseline!$P$29,HC163*Baseline!$P$30,HD163*Baseline!$P$31,Baseline!$P$23)</f>
        <v>626.18362874044828</v>
      </c>
      <c r="HG163" s="455" t="e">
        <f t="shared" si="42"/>
        <v>#DIV/0!</v>
      </c>
      <c r="HH163" s="429" t="e">
        <f>IF(HG163&lt;=Baseline!$J$13,1,0)</f>
        <v>#DIV/0!</v>
      </c>
      <c r="HI163" s="429">
        <f t="shared" si="43"/>
        <v>392105.93690255558</v>
      </c>
      <c r="HJ163" s="429">
        <f t="shared" si="38"/>
        <v>48910903.069173105</v>
      </c>
      <c r="HK163" s="429">
        <f t="shared" si="39"/>
        <v>58061606.033611111</v>
      </c>
      <c r="HL163" s="429" t="str">
        <f>IF(HM163=Reference!$I$12,(HF163-GV163),"")</f>
        <v/>
      </c>
      <c r="HM163" s="429" t="str">
        <f>Reference!I163</f>
        <v/>
      </c>
      <c r="HN163" s="429" t="str">
        <f t="shared" si="44"/>
        <v/>
      </c>
    </row>
    <row r="164" spans="189:222" ht="17.25" customHeight="1" x14ac:dyDescent="0.35">
      <c r="GG164" s="432"/>
      <c r="GJ164" s="429" t="str">
        <f>IF(GK164=$GJ$15,$GJ$15,IF(GJ$24=HF$4,SUM(GK$25:GK164),SUM(GL$25:GL164)))</f>
        <v>N</v>
      </c>
      <c r="GK164" s="438" t="str">
        <f>IFERROR('!!'!G164-'!!'!D164,$GJ$15)</f>
        <v>N</v>
      </c>
      <c r="GL164" s="429" t="str">
        <f t="shared" si="40"/>
        <v>N</v>
      </c>
      <c r="GM164" s="438">
        <f>IFERROR(('!!'!$D164)*('!!'!W164/('!!'!$G164)),0)</f>
        <v>0</v>
      </c>
      <c r="GN164" s="438">
        <f>IFERROR(('!!'!$D164)*('!!'!X164/('!!'!$G164)),0)</f>
        <v>0</v>
      </c>
      <c r="GO164" s="438">
        <f>IFERROR(('!!'!$D164)*('!!'!Y164/('!!'!$G164)),0)</f>
        <v>0</v>
      </c>
      <c r="GP164" s="438">
        <f>IFERROR(('!!'!$D164)*('!!'!Z163/('!!'!$G164)),0)</f>
        <v>0</v>
      </c>
      <c r="GQ164" s="438">
        <f>IFERROR(('!!'!$D164)*('!!'!Q164/('!!'!$G164)),0)</f>
        <v>0</v>
      </c>
      <c r="GR164" s="429">
        <v>1</v>
      </c>
      <c r="GS164" s="429">
        <v>2</v>
      </c>
      <c r="GT164" s="432">
        <f>Monitoring!C164</f>
        <v>0</v>
      </c>
      <c r="GU164" s="432">
        <f>Reference!$C164</f>
        <v>0</v>
      </c>
      <c r="GV164" s="429">
        <f>Reference!$D164</f>
        <v>0</v>
      </c>
      <c r="GW164" s="440">
        <f t="shared" si="45"/>
        <v>0</v>
      </c>
      <c r="GX164" s="440">
        <f t="shared" si="45"/>
        <v>0</v>
      </c>
      <c r="GY164" s="440">
        <f t="shared" si="45"/>
        <v>0</v>
      </c>
      <c r="GZ164" s="440">
        <f t="shared" si="45"/>
        <v>0</v>
      </c>
      <c r="HA164" s="440"/>
      <c r="HB164" s="440"/>
      <c r="HC164" s="440"/>
      <c r="HD164" s="440"/>
      <c r="HE164" s="429">
        <f t="shared" si="41"/>
        <v>140</v>
      </c>
      <c r="HF164" s="429">
        <f>SUM(GW164*Baseline!$P$24,GX164*Baseline!$P$25,GY164*Baseline!$P$26,GZ164*Baseline!$P$27,HA164*Baseline!$P$28,HB164*Baseline!$P$29,HC164*Baseline!$P$30,HD164*Baseline!$P$31,Baseline!$P$23)</f>
        <v>626.18362874044828</v>
      </c>
      <c r="HG164" s="455" t="e">
        <f t="shared" si="42"/>
        <v>#DIV/0!</v>
      </c>
      <c r="HH164" s="429" t="e">
        <f>IF(HG164&lt;=Baseline!$J$13,1,0)</f>
        <v>#DIV/0!</v>
      </c>
      <c r="HI164" s="429">
        <f t="shared" si="43"/>
        <v>392105.93690255558</v>
      </c>
      <c r="HJ164" s="429">
        <f t="shared" si="38"/>
        <v>48910903.069173105</v>
      </c>
      <c r="HK164" s="429">
        <f t="shared" si="39"/>
        <v>58061606.033611111</v>
      </c>
      <c r="HL164" s="429" t="str">
        <f>IF(HM164=Reference!$I$12,(HF164-GV164),"")</f>
        <v/>
      </c>
      <c r="HM164" s="429" t="str">
        <f>Reference!I164</f>
        <v/>
      </c>
      <c r="HN164" s="429" t="str">
        <f t="shared" si="44"/>
        <v/>
      </c>
    </row>
    <row r="165" spans="189:222" ht="17.25" customHeight="1" x14ac:dyDescent="0.35">
      <c r="GG165" s="432"/>
      <c r="GJ165" s="429" t="str">
        <f>IF(GK165=$GJ$15,$GJ$15,IF(GJ$24=HF$4,SUM(GK$25:GK165),SUM(GL$25:GL165)))</f>
        <v>N</v>
      </c>
      <c r="GK165" s="438" t="str">
        <f>IFERROR('!!'!G165-'!!'!D165,$GJ$15)</f>
        <v>N</v>
      </c>
      <c r="GL165" s="429" t="str">
        <f t="shared" si="40"/>
        <v>N</v>
      </c>
      <c r="GM165" s="438">
        <f>IFERROR(('!!'!$D165)*('!!'!W165/('!!'!$G165)),0)</f>
        <v>0</v>
      </c>
      <c r="GN165" s="438">
        <f>IFERROR(('!!'!$D165)*('!!'!X165/('!!'!$G165)),0)</f>
        <v>0</v>
      </c>
      <c r="GO165" s="438">
        <f>IFERROR(('!!'!$D165)*('!!'!Y165/('!!'!$G165)),0)</f>
        <v>0</v>
      </c>
      <c r="GP165" s="438">
        <f>IFERROR(('!!'!$D165)*('!!'!Z164/('!!'!$G165)),0)</f>
        <v>0</v>
      </c>
      <c r="GQ165" s="438">
        <f>IFERROR(('!!'!$D165)*('!!'!Q165/('!!'!$G165)),0)</f>
        <v>0</v>
      </c>
      <c r="GR165" s="429">
        <v>1</v>
      </c>
      <c r="GS165" s="429">
        <v>2</v>
      </c>
      <c r="GT165" s="432">
        <f>Monitoring!C165</f>
        <v>0</v>
      </c>
      <c r="GU165" s="432">
        <f>Reference!$C165</f>
        <v>0</v>
      </c>
      <c r="GV165" s="429">
        <f>Reference!$D165</f>
        <v>0</v>
      </c>
      <c r="GW165" s="440">
        <f t="shared" ref="GW165:GZ174" si="46">IFERROR(VLOOKUP($GU165,Daten.B,GW$22,FALSE)^GW$23,0)</f>
        <v>0</v>
      </c>
      <c r="GX165" s="440">
        <f t="shared" si="46"/>
        <v>0</v>
      </c>
      <c r="GY165" s="440">
        <f t="shared" si="46"/>
        <v>0</v>
      </c>
      <c r="GZ165" s="440">
        <f t="shared" si="46"/>
        <v>0</v>
      </c>
      <c r="HA165" s="440"/>
      <c r="HB165" s="440"/>
      <c r="HC165" s="440"/>
      <c r="HD165" s="440"/>
      <c r="HE165" s="429">
        <f t="shared" si="41"/>
        <v>141</v>
      </c>
      <c r="HF165" s="429">
        <f>SUM(GW165*Baseline!$P$24,GX165*Baseline!$P$25,GY165*Baseline!$P$26,GZ165*Baseline!$P$27,HA165*Baseline!$P$28,HB165*Baseline!$P$29,HC165*Baseline!$P$30,HD165*Baseline!$P$31,Baseline!$P$23)</f>
        <v>626.18362874044828</v>
      </c>
      <c r="HG165" s="455" t="e">
        <f t="shared" si="42"/>
        <v>#DIV/0!</v>
      </c>
      <c r="HH165" s="429" t="e">
        <f>IF(HG165&lt;=Baseline!$J$13,1,0)</f>
        <v>#DIV/0!</v>
      </c>
      <c r="HI165" s="429">
        <f t="shared" si="43"/>
        <v>392105.93690255558</v>
      </c>
      <c r="HJ165" s="429">
        <f t="shared" si="38"/>
        <v>48910903.069173105</v>
      </c>
      <c r="HK165" s="429">
        <f t="shared" si="39"/>
        <v>58061606.033611111</v>
      </c>
      <c r="HL165" s="429" t="str">
        <f>IF(HM165=Reference!$I$12,(HF165-GV165),"")</f>
        <v/>
      </c>
      <c r="HM165" s="429" t="str">
        <f>Reference!I165</f>
        <v/>
      </c>
      <c r="HN165" s="429" t="str">
        <f t="shared" si="44"/>
        <v/>
      </c>
    </row>
    <row r="166" spans="189:222" ht="17.25" customHeight="1" x14ac:dyDescent="0.35">
      <c r="GG166" s="432"/>
      <c r="GJ166" s="429" t="str">
        <f>IF(GK166=$GJ$15,$GJ$15,IF(GJ$24=HF$4,SUM(GK$25:GK166),SUM(GL$25:GL166)))</f>
        <v>N</v>
      </c>
      <c r="GK166" s="438" t="str">
        <f>IFERROR('!!'!G166-'!!'!D166,$GJ$15)</f>
        <v>N</v>
      </c>
      <c r="GL166" s="429" t="str">
        <f t="shared" si="40"/>
        <v>N</v>
      </c>
      <c r="GM166" s="438">
        <f>IFERROR(('!!'!$D166)*('!!'!W166/('!!'!$G166)),0)</f>
        <v>0</v>
      </c>
      <c r="GN166" s="438">
        <f>IFERROR(('!!'!$D166)*('!!'!X166/('!!'!$G166)),0)</f>
        <v>0</v>
      </c>
      <c r="GO166" s="438">
        <f>IFERROR(('!!'!$D166)*('!!'!Y166/('!!'!$G166)),0)</f>
        <v>0</v>
      </c>
      <c r="GP166" s="438">
        <f>IFERROR(('!!'!$D166)*('!!'!Z165/('!!'!$G166)),0)</f>
        <v>0</v>
      </c>
      <c r="GQ166" s="438">
        <f>IFERROR(('!!'!$D166)*('!!'!Q166/('!!'!$G166)),0)</f>
        <v>0</v>
      </c>
      <c r="GR166" s="429">
        <v>1</v>
      </c>
      <c r="GS166" s="429">
        <v>2</v>
      </c>
      <c r="GT166" s="432">
        <f>Monitoring!C166</f>
        <v>0</v>
      </c>
      <c r="GU166" s="432">
        <f>Reference!$C166</f>
        <v>0</v>
      </c>
      <c r="GV166" s="429">
        <f>Reference!$D166</f>
        <v>0</v>
      </c>
      <c r="GW166" s="440">
        <f t="shared" si="46"/>
        <v>0</v>
      </c>
      <c r="GX166" s="440">
        <f t="shared" si="46"/>
        <v>0</v>
      </c>
      <c r="GY166" s="440">
        <f t="shared" si="46"/>
        <v>0</v>
      </c>
      <c r="GZ166" s="440">
        <f t="shared" si="46"/>
        <v>0</v>
      </c>
      <c r="HA166" s="440"/>
      <c r="HB166" s="440"/>
      <c r="HC166" s="440"/>
      <c r="HD166" s="440"/>
      <c r="HE166" s="429">
        <f t="shared" si="41"/>
        <v>142</v>
      </c>
      <c r="HF166" s="429">
        <f>SUM(GW166*Baseline!$P$24,GX166*Baseline!$P$25,GY166*Baseline!$P$26,GZ166*Baseline!$P$27,HA166*Baseline!$P$28,HB166*Baseline!$P$29,HC166*Baseline!$P$30,HD166*Baseline!$P$31,Baseline!$P$23)</f>
        <v>626.18362874044828</v>
      </c>
      <c r="HG166" s="455" t="e">
        <f t="shared" si="42"/>
        <v>#DIV/0!</v>
      </c>
      <c r="HH166" s="429" t="e">
        <f>IF(HG166&lt;=Baseline!$J$13,1,0)</f>
        <v>#DIV/0!</v>
      </c>
      <c r="HI166" s="429">
        <f t="shared" si="43"/>
        <v>392105.93690255558</v>
      </c>
      <c r="HJ166" s="429">
        <f t="shared" si="38"/>
        <v>48910903.069173105</v>
      </c>
      <c r="HK166" s="429">
        <f t="shared" si="39"/>
        <v>58061606.033611111</v>
      </c>
      <c r="HL166" s="429" t="str">
        <f>IF(HM166=Reference!$I$12,(HF166-GV166),"")</f>
        <v/>
      </c>
      <c r="HM166" s="429" t="str">
        <f>Reference!I166</f>
        <v/>
      </c>
      <c r="HN166" s="429" t="str">
        <f t="shared" si="44"/>
        <v/>
      </c>
    </row>
    <row r="167" spans="189:222" ht="17.25" customHeight="1" x14ac:dyDescent="0.35">
      <c r="GG167" s="432"/>
      <c r="GJ167" s="429" t="str">
        <f>IF(GK167=$GJ$15,$GJ$15,IF(GJ$24=HF$4,SUM(GK$25:GK167),SUM(GL$25:GL167)))</f>
        <v>N</v>
      </c>
      <c r="GK167" s="438" t="str">
        <f>IFERROR('!!'!G167-'!!'!D167,$GJ$15)</f>
        <v>N</v>
      </c>
      <c r="GL167" s="429" t="str">
        <f t="shared" si="40"/>
        <v>N</v>
      </c>
      <c r="GM167" s="438">
        <f>IFERROR(('!!'!$D167)*('!!'!W167/('!!'!$G167)),0)</f>
        <v>0</v>
      </c>
      <c r="GN167" s="438">
        <f>IFERROR(('!!'!$D167)*('!!'!X167/('!!'!$G167)),0)</f>
        <v>0</v>
      </c>
      <c r="GO167" s="438">
        <f>IFERROR(('!!'!$D167)*('!!'!Y167/('!!'!$G167)),0)</f>
        <v>0</v>
      </c>
      <c r="GP167" s="438">
        <f>IFERROR(('!!'!$D167)*('!!'!Z166/('!!'!$G167)),0)</f>
        <v>0</v>
      </c>
      <c r="GQ167" s="438">
        <f>IFERROR(('!!'!$D167)*('!!'!Q167/('!!'!$G167)),0)</f>
        <v>0</v>
      </c>
      <c r="GR167" s="429">
        <v>1</v>
      </c>
      <c r="GS167" s="429">
        <v>2</v>
      </c>
      <c r="GT167" s="432">
        <f>Monitoring!C167</f>
        <v>0</v>
      </c>
      <c r="GU167" s="432">
        <f>Reference!$C167</f>
        <v>0</v>
      </c>
      <c r="GV167" s="429">
        <f>Reference!$D167</f>
        <v>0</v>
      </c>
      <c r="GW167" s="440">
        <f t="shared" si="46"/>
        <v>0</v>
      </c>
      <c r="GX167" s="440">
        <f t="shared" si="46"/>
        <v>0</v>
      </c>
      <c r="GY167" s="440">
        <f t="shared" si="46"/>
        <v>0</v>
      </c>
      <c r="GZ167" s="440">
        <f t="shared" si="46"/>
        <v>0</v>
      </c>
      <c r="HA167" s="440"/>
      <c r="HB167" s="440"/>
      <c r="HC167" s="440"/>
      <c r="HD167" s="440"/>
      <c r="HE167" s="429">
        <f t="shared" si="41"/>
        <v>143</v>
      </c>
      <c r="HF167" s="429">
        <f>SUM(GW167*Baseline!$P$24,GX167*Baseline!$P$25,GY167*Baseline!$P$26,GZ167*Baseline!$P$27,HA167*Baseline!$P$28,HB167*Baseline!$P$29,HC167*Baseline!$P$30,HD167*Baseline!$P$31,Baseline!$P$23)</f>
        <v>626.18362874044828</v>
      </c>
      <c r="HG167" s="455" t="e">
        <f t="shared" si="42"/>
        <v>#DIV/0!</v>
      </c>
      <c r="HH167" s="429" t="e">
        <f>IF(HG167&lt;=Baseline!$J$13,1,0)</f>
        <v>#DIV/0!</v>
      </c>
      <c r="HI167" s="429">
        <f t="shared" si="43"/>
        <v>392105.93690255558</v>
      </c>
      <c r="HJ167" s="429">
        <f t="shared" si="38"/>
        <v>48910903.069173105</v>
      </c>
      <c r="HK167" s="429">
        <f t="shared" si="39"/>
        <v>58061606.033611111</v>
      </c>
      <c r="HL167" s="429" t="str">
        <f>IF(HM167=Reference!$I$12,(HF167-GV167),"")</f>
        <v/>
      </c>
      <c r="HM167" s="429" t="str">
        <f>Reference!I167</f>
        <v/>
      </c>
      <c r="HN167" s="429" t="str">
        <f t="shared" si="44"/>
        <v/>
      </c>
    </row>
    <row r="168" spans="189:222" ht="17.25" customHeight="1" x14ac:dyDescent="0.35">
      <c r="GG168" s="432"/>
      <c r="GJ168" s="429" t="str">
        <f>IF(GK168=$GJ$15,$GJ$15,IF(GJ$24=HF$4,SUM(GK$25:GK168),SUM(GL$25:GL168)))</f>
        <v>N</v>
      </c>
      <c r="GK168" s="438" t="str">
        <f>IFERROR('!!'!G168-'!!'!D168,$GJ$15)</f>
        <v>N</v>
      </c>
      <c r="GL168" s="429" t="str">
        <f t="shared" si="40"/>
        <v>N</v>
      </c>
      <c r="GM168" s="438">
        <f>IFERROR(('!!'!$D168)*('!!'!W168/('!!'!$G168)),0)</f>
        <v>0</v>
      </c>
      <c r="GN168" s="438">
        <f>IFERROR(('!!'!$D168)*('!!'!X168/('!!'!$G168)),0)</f>
        <v>0</v>
      </c>
      <c r="GO168" s="438">
        <f>IFERROR(('!!'!$D168)*('!!'!Y168/('!!'!$G168)),0)</f>
        <v>0</v>
      </c>
      <c r="GP168" s="438">
        <f>IFERROR(('!!'!$D168)*('!!'!Z167/('!!'!$G168)),0)</f>
        <v>0</v>
      </c>
      <c r="GQ168" s="438">
        <f>IFERROR(('!!'!$D168)*('!!'!Q168/('!!'!$G168)),0)</f>
        <v>0</v>
      </c>
      <c r="GR168" s="429">
        <v>1</v>
      </c>
      <c r="GS168" s="429">
        <v>2</v>
      </c>
      <c r="GT168" s="432">
        <f>Monitoring!C168</f>
        <v>0</v>
      </c>
      <c r="GU168" s="432">
        <f>Reference!$C168</f>
        <v>0</v>
      </c>
      <c r="GV168" s="429">
        <f>Reference!$D168</f>
        <v>0</v>
      </c>
      <c r="GW168" s="440">
        <f t="shared" si="46"/>
        <v>0</v>
      </c>
      <c r="GX168" s="440">
        <f t="shared" si="46"/>
        <v>0</v>
      </c>
      <c r="GY168" s="440">
        <f t="shared" si="46"/>
        <v>0</v>
      </c>
      <c r="GZ168" s="440">
        <f t="shared" si="46"/>
        <v>0</v>
      </c>
      <c r="HA168" s="440"/>
      <c r="HB168" s="440"/>
      <c r="HC168" s="440"/>
      <c r="HD168" s="440"/>
      <c r="HE168" s="429">
        <f t="shared" si="41"/>
        <v>144</v>
      </c>
      <c r="HF168" s="429">
        <f>SUM(GW168*Baseline!$P$24,GX168*Baseline!$P$25,GY168*Baseline!$P$26,GZ168*Baseline!$P$27,HA168*Baseline!$P$28,HB168*Baseline!$P$29,HC168*Baseline!$P$30,HD168*Baseline!$P$31,Baseline!$P$23)</f>
        <v>626.18362874044828</v>
      </c>
      <c r="HG168" s="455" t="e">
        <f t="shared" si="42"/>
        <v>#DIV/0!</v>
      </c>
      <c r="HH168" s="429" t="e">
        <f>IF(HG168&lt;=Baseline!$J$13,1,0)</f>
        <v>#DIV/0!</v>
      </c>
      <c r="HI168" s="429">
        <f t="shared" si="43"/>
        <v>392105.93690255558</v>
      </c>
      <c r="HJ168" s="429">
        <f t="shared" si="38"/>
        <v>48910903.069173105</v>
      </c>
      <c r="HK168" s="429">
        <f t="shared" si="39"/>
        <v>58061606.033611111</v>
      </c>
      <c r="HL168" s="429" t="str">
        <f>IF(HM168=Reference!$I$12,(HF168-GV168),"")</f>
        <v/>
      </c>
      <c r="HM168" s="429" t="str">
        <f>Reference!I168</f>
        <v/>
      </c>
      <c r="HN168" s="429" t="str">
        <f t="shared" si="44"/>
        <v/>
      </c>
    </row>
    <row r="169" spans="189:222" ht="17.25" customHeight="1" x14ac:dyDescent="0.35">
      <c r="GG169" s="432"/>
      <c r="GJ169" s="429" t="str">
        <f>IF(GK169=$GJ$15,$GJ$15,IF(GJ$24=HF$4,SUM(GK$25:GK169),SUM(GL$25:GL169)))</f>
        <v>N</v>
      </c>
      <c r="GK169" s="438" t="str">
        <f>IFERROR('!!'!G169-'!!'!D169,$GJ$15)</f>
        <v>N</v>
      </c>
      <c r="GL169" s="429" t="str">
        <f t="shared" si="40"/>
        <v>N</v>
      </c>
      <c r="GM169" s="438">
        <f>IFERROR(('!!'!$D169)*('!!'!W169/('!!'!$G169)),0)</f>
        <v>0</v>
      </c>
      <c r="GN169" s="438">
        <f>IFERROR(('!!'!$D169)*('!!'!X169/('!!'!$G169)),0)</f>
        <v>0</v>
      </c>
      <c r="GO169" s="438">
        <f>IFERROR(('!!'!$D169)*('!!'!Y169/('!!'!$G169)),0)</f>
        <v>0</v>
      </c>
      <c r="GP169" s="438">
        <f>IFERROR(('!!'!$D169)*('!!'!Z168/('!!'!$G169)),0)</f>
        <v>0</v>
      </c>
      <c r="GQ169" s="438">
        <f>IFERROR(('!!'!$D169)*('!!'!Q169/('!!'!$G169)),0)</f>
        <v>0</v>
      </c>
      <c r="GR169" s="429">
        <v>1</v>
      </c>
      <c r="GS169" s="429">
        <v>2</v>
      </c>
      <c r="GT169" s="432">
        <f>Monitoring!C169</f>
        <v>0</v>
      </c>
      <c r="GU169" s="432">
        <f>Reference!$C169</f>
        <v>0</v>
      </c>
      <c r="GV169" s="429">
        <f>Reference!$D169</f>
        <v>0</v>
      </c>
      <c r="GW169" s="440">
        <f t="shared" si="46"/>
        <v>0</v>
      </c>
      <c r="GX169" s="440">
        <f t="shared" si="46"/>
        <v>0</v>
      </c>
      <c r="GY169" s="440">
        <f t="shared" si="46"/>
        <v>0</v>
      </c>
      <c r="GZ169" s="440">
        <f t="shared" si="46"/>
        <v>0</v>
      </c>
      <c r="HA169" s="440"/>
      <c r="HB169" s="440"/>
      <c r="HC169" s="440"/>
      <c r="HD169" s="440"/>
      <c r="HE169" s="429">
        <f t="shared" si="41"/>
        <v>145</v>
      </c>
      <c r="HF169" s="429">
        <f>SUM(GW169*Baseline!$P$24,GX169*Baseline!$P$25,GY169*Baseline!$P$26,GZ169*Baseline!$P$27,HA169*Baseline!$P$28,HB169*Baseline!$P$29,HC169*Baseline!$P$30,HD169*Baseline!$P$31,Baseline!$P$23)</f>
        <v>626.18362874044828</v>
      </c>
      <c r="HG169" s="455" t="e">
        <f t="shared" si="42"/>
        <v>#DIV/0!</v>
      </c>
      <c r="HH169" s="429" t="e">
        <f>IF(HG169&lt;=Baseline!$J$13,1,0)</f>
        <v>#DIV/0!</v>
      </c>
      <c r="HI169" s="429">
        <f t="shared" si="43"/>
        <v>392105.93690255558</v>
      </c>
      <c r="HJ169" s="429">
        <f t="shared" si="38"/>
        <v>48910903.069173105</v>
      </c>
      <c r="HK169" s="429">
        <f t="shared" si="39"/>
        <v>58061606.033611111</v>
      </c>
      <c r="HL169" s="429" t="str">
        <f>IF(HM169=Reference!$I$12,(HF169-GV169),"")</f>
        <v/>
      </c>
      <c r="HM169" s="429" t="str">
        <f>Reference!I169</f>
        <v/>
      </c>
      <c r="HN169" s="429" t="str">
        <f t="shared" si="44"/>
        <v/>
      </c>
    </row>
    <row r="170" spans="189:222" ht="17.25" customHeight="1" x14ac:dyDescent="0.35">
      <c r="GG170" s="432"/>
      <c r="GJ170" s="429" t="str">
        <f>IF(GK170=$GJ$15,$GJ$15,IF(GJ$24=HF$4,SUM(GK$25:GK170),SUM(GL$25:GL170)))</f>
        <v>N</v>
      </c>
      <c r="GK170" s="438" t="str">
        <f>IFERROR('!!'!G170-'!!'!D170,$GJ$15)</f>
        <v>N</v>
      </c>
      <c r="GL170" s="429" t="str">
        <f t="shared" si="40"/>
        <v>N</v>
      </c>
      <c r="GM170" s="438">
        <f>IFERROR(('!!'!$D170)*('!!'!W170/('!!'!$G170)),0)</f>
        <v>0</v>
      </c>
      <c r="GN170" s="438">
        <f>IFERROR(('!!'!$D170)*('!!'!X170/('!!'!$G170)),0)</f>
        <v>0</v>
      </c>
      <c r="GO170" s="438">
        <f>IFERROR(('!!'!$D170)*('!!'!Y170/('!!'!$G170)),0)</f>
        <v>0</v>
      </c>
      <c r="GP170" s="438">
        <f>IFERROR(('!!'!$D170)*('!!'!Z169/('!!'!$G170)),0)</f>
        <v>0</v>
      </c>
      <c r="GQ170" s="438">
        <f>IFERROR(('!!'!$D170)*('!!'!Q170/('!!'!$G170)),0)</f>
        <v>0</v>
      </c>
      <c r="GR170" s="429">
        <v>1</v>
      </c>
      <c r="GS170" s="429">
        <v>2</v>
      </c>
      <c r="GT170" s="432">
        <f>Monitoring!C170</f>
        <v>0</v>
      </c>
      <c r="GU170" s="432">
        <f>Reference!$C170</f>
        <v>0</v>
      </c>
      <c r="GV170" s="429">
        <f>Reference!$D170</f>
        <v>0</v>
      </c>
      <c r="GW170" s="440">
        <f t="shared" si="46"/>
        <v>0</v>
      </c>
      <c r="GX170" s="440">
        <f t="shared" si="46"/>
        <v>0</v>
      </c>
      <c r="GY170" s="440">
        <f t="shared" si="46"/>
        <v>0</v>
      </c>
      <c r="GZ170" s="440">
        <f t="shared" si="46"/>
        <v>0</v>
      </c>
      <c r="HA170" s="440"/>
      <c r="HB170" s="440"/>
      <c r="HC170" s="440"/>
      <c r="HD170" s="440"/>
      <c r="HE170" s="429">
        <f t="shared" si="41"/>
        <v>146</v>
      </c>
      <c r="HF170" s="429">
        <f>SUM(GW170*Baseline!$P$24,GX170*Baseline!$P$25,GY170*Baseline!$P$26,GZ170*Baseline!$P$27,HA170*Baseline!$P$28,HB170*Baseline!$P$29,HC170*Baseline!$P$30,HD170*Baseline!$P$31,Baseline!$P$23)</f>
        <v>626.18362874044828</v>
      </c>
      <c r="HG170" s="455" t="e">
        <f t="shared" si="42"/>
        <v>#DIV/0!</v>
      </c>
      <c r="HH170" s="429" t="e">
        <f>IF(HG170&lt;=Baseline!$J$13,1,0)</f>
        <v>#DIV/0!</v>
      </c>
      <c r="HI170" s="429">
        <f t="shared" si="43"/>
        <v>392105.93690255558</v>
      </c>
      <c r="HJ170" s="429">
        <f t="shared" si="38"/>
        <v>48910903.069173105</v>
      </c>
      <c r="HK170" s="429">
        <f t="shared" si="39"/>
        <v>58061606.033611111</v>
      </c>
      <c r="HL170" s="429" t="str">
        <f>IF(HM170=Reference!$I$12,(HF170-GV170),"")</f>
        <v/>
      </c>
      <c r="HM170" s="429" t="str">
        <f>Reference!I170</f>
        <v/>
      </c>
      <c r="HN170" s="429" t="str">
        <f t="shared" si="44"/>
        <v/>
      </c>
    </row>
    <row r="171" spans="189:222" ht="17.25" customHeight="1" x14ac:dyDescent="0.35">
      <c r="GG171" s="432"/>
      <c r="GJ171" s="429" t="str">
        <f>IF(GK171=$GJ$15,$GJ$15,IF(GJ$24=HF$4,SUM(GK$25:GK171),SUM(GL$25:GL171)))</f>
        <v>N</v>
      </c>
      <c r="GK171" s="438" t="str">
        <f>IFERROR('!!'!G171-'!!'!D171,$GJ$15)</f>
        <v>N</v>
      </c>
      <c r="GL171" s="429" t="str">
        <f t="shared" si="40"/>
        <v>N</v>
      </c>
      <c r="GM171" s="438">
        <f>IFERROR(('!!'!$D171)*('!!'!W171/('!!'!$G171)),0)</f>
        <v>0</v>
      </c>
      <c r="GN171" s="438">
        <f>IFERROR(('!!'!$D171)*('!!'!X171/('!!'!$G171)),0)</f>
        <v>0</v>
      </c>
      <c r="GO171" s="438">
        <f>IFERROR(('!!'!$D171)*('!!'!Y171/('!!'!$G171)),0)</f>
        <v>0</v>
      </c>
      <c r="GP171" s="438">
        <f>IFERROR(('!!'!$D171)*('!!'!Z170/('!!'!$G171)),0)</f>
        <v>0</v>
      </c>
      <c r="GQ171" s="438">
        <f>IFERROR(('!!'!$D171)*('!!'!Q171/('!!'!$G171)),0)</f>
        <v>0</v>
      </c>
      <c r="GR171" s="429">
        <v>1</v>
      </c>
      <c r="GS171" s="429">
        <v>2</v>
      </c>
      <c r="GT171" s="432">
        <f>Monitoring!C171</f>
        <v>0</v>
      </c>
      <c r="GU171" s="432">
        <f>Reference!$C171</f>
        <v>0</v>
      </c>
      <c r="GV171" s="429">
        <f>Reference!$D171</f>
        <v>0</v>
      </c>
      <c r="GW171" s="440">
        <f t="shared" si="46"/>
        <v>0</v>
      </c>
      <c r="GX171" s="440">
        <f t="shared" si="46"/>
        <v>0</v>
      </c>
      <c r="GY171" s="440">
        <f t="shared" si="46"/>
        <v>0</v>
      </c>
      <c r="GZ171" s="440">
        <f t="shared" si="46"/>
        <v>0</v>
      </c>
      <c r="HA171" s="440"/>
      <c r="HB171" s="440"/>
      <c r="HC171" s="440"/>
      <c r="HD171" s="440"/>
      <c r="HE171" s="429">
        <f t="shared" si="41"/>
        <v>147</v>
      </c>
      <c r="HF171" s="429">
        <f>SUM(GW171*Baseline!$P$24,GX171*Baseline!$P$25,GY171*Baseline!$P$26,GZ171*Baseline!$P$27,HA171*Baseline!$P$28,HB171*Baseline!$P$29,HC171*Baseline!$P$30,HD171*Baseline!$P$31,Baseline!$P$23)</f>
        <v>626.18362874044828</v>
      </c>
      <c r="HG171" s="455" t="e">
        <f t="shared" si="42"/>
        <v>#DIV/0!</v>
      </c>
      <c r="HH171" s="429" t="e">
        <f>IF(HG171&lt;=Baseline!$J$13,1,0)</f>
        <v>#DIV/0!</v>
      </c>
      <c r="HI171" s="429">
        <f t="shared" si="43"/>
        <v>392105.93690255558</v>
      </c>
      <c r="HJ171" s="429">
        <f t="shared" si="38"/>
        <v>48910903.069173105</v>
      </c>
      <c r="HK171" s="429">
        <f t="shared" si="39"/>
        <v>58061606.033611111</v>
      </c>
      <c r="HL171" s="429" t="str">
        <f>IF(HM171=Reference!$I$12,(HF171-GV171),"")</f>
        <v/>
      </c>
      <c r="HM171" s="429" t="str">
        <f>Reference!I171</f>
        <v/>
      </c>
      <c r="HN171" s="429" t="str">
        <f t="shared" si="44"/>
        <v/>
      </c>
    </row>
    <row r="172" spans="189:222" ht="17.25" customHeight="1" x14ac:dyDescent="0.35">
      <c r="GG172" s="432"/>
      <c r="GJ172" s="429" t="str">
        <f>IF(GK172=$GJ$15,$GJ$15,IF(GJ$24=HF$4,SUM(GK$25:GK172),SUM(GL$25:GL172)))</f>
        <v>N</v>
      </c>
      <c r="GK172" s="438" t="str">
        <f>IFERROR('!!'!G172-'!!'!D172,$GJ$15)</f>
        <v>N</v>
      </c>
      <c r="GL172" s="429" t="str">
        <f t="shared" si="40"/>
        <v>N</v>
      </c>
      <c r="GM172" s="438">
        <f>IFERROR(('!!'!$D172)*('!!'!W172/('!!'!$G172)),0)</f>
        <v>0</v>
      </c>
      <c r="GN172" s="438">
        <f>IFERROR(('!!'!$D172)*('!!'!X172/('!!'!$G172)),0)</f>
        <v>0</v>
      </c>
      <c r="GO172" s="438">
        <f>IFERROR(('!!'!$D172)*('!!'!Y172/('!!'!$G172)),0)</f>
        <v>0</v>
      </c>
      <c r="GP172" s="438">
        <f>IFERROR(('!!'!$D172)*('!!'!Z171/('!!'!$G172)),0)</f>
        <v>0</v>
      </c>
      <c r="GQ172" s="438">
        <f>IFERROR(('!!'!$D172)*('!!'!Q172/('!!'!$G172)),0)</f>
        <v>0</v>
      </c>
      <c r="GR172" s="429">
        <v>1</v>
      </c>
      <c r="GS172" s="429">
        <v>2</v>
      </c>
      <c r="GT172" s="432">
        <f>Monitoring!C172</f>
        <v>0</v>
      </c>
      <c r="GU172" s="432">
        <f>Reference!$C172</f>
        <v>0</v>
      </c>
      <c r="GV172" s="429">
        <f>Reference!$D172</f>
        <v>0</v>
      </c>
      <c r="GW172" s="440">
        <f t="shared" si="46"/>
        <v>0</v>
      </c>
      <c r="GX172" s="440">
        <f t="shared" si="46"/>
        <v>0</v>
      </c>
      <c r="GY172" s="440">
        <f t="shared" si="46"/>
        <v>0</v>
      </c>
      <c r="GZ172" s="440">
        <f t="shared" si="46"/>
        <v>0</v>
      </c>
      <c r="HA172" s="440"/>
      <c r="HB172" s="440"/>
      <c r="HC172" s="440"/>
      <c r="HD172" s="440"/>
      <c r="HE172" s="429">
        <f t="shared" si="41"/>
        <v>148</v>
      </c>
      <c r="HF172" s="429">
        <f>SUM(GW172*Baseline!$P$24,GX172*Baseline!$P$25,GY172*Baseline!$P$26,GZ172*Baseline!$P$27,HA172*Baseline!$P$28,HB172*Baseline!$P$29,HC172*Baseline!$P$30,HD172*Baseline!$P$31,Baseline!$P$23)</f>
        <v>626.18362874044828</v>
      </c>
      <c r="HG172" s="455" t="e">
        <f t="shared" si="42"/>
        <v>#DIV/0!</v>
      </c>
      <c r="HH172" s="429" t="e">
        <f>IF(HG172&lt;=Baseline!$J$13,1,0)</f>
        <v>#DIV/0!</v>
      </c>
      <c r="HI172" s="429">
        <f t="shared" si="43"/>
        <v>392105.93690255558</v>
      </c>
      <c r="HJ172" s="429">
        <f t="shared" si="38"/>
        <v>48910903.069173105</v>
      </c>
      <c r="HK172" s="429">
        <f t="shared" si="39"/>
        <v>58061606.033611111</v>
      </c>
      <c r="HL172" s="429" t="str">
        <f>IF(HM172=Reference!$I$12,(HF172-GV172),"")</f>
        <v/>
      </c>
      <c r="HM172" s="429" t="str">
        <f>Reference!I172</f>
        <v/>
      </c>
      <c r="HN172" s="429" t="str">
        <f t="shared" si="44"/>
        <v/>
      </c>
    </row>
    <row r="173" spans="189:222" ht="17.25" customHeight="1" x14ac:dyDescent="0.35">
      <c r="GG173" s="432"/>
      <c r="GJ173" s="429" t="str">
        <f>IF(GK173=$GJ$15,$GJ$15,IF(GJ$24=HF$4,SUM(GK$25:GK173),SUM(GL$25:GL173)))</f>
        <v>N</v>
      </c>
      <c r="GK173" s="438" t="str">
        <f>IFERROR('!!'!G173-'!!'!D173,$GJ$15)</f>
        <v>N</v>
      </c>
      <c r="GL173" s="429" t="str">
        <f t="shared" si="40"/>
        <v>N</v>
      </c>
      <c r="GM173" s="438">
        <f>IFERROR(('!!'!$D173)*('!!'!W173/('!!'!$G173)),0)</f>
        <v>0</v>
      </c>
      <c r="GN173" s="438">
        <f>IFERROR(('!!'!$D173)*('!!'!X173/('!!'!$G173)),0)</f>
        <v>0</v>
      </c>
      <c r="GO173" s="438">
        <f>IFERROR(('!!'!$D173)*('!!'!Y173/('!!'!$G173)),0)</f>
        <v>0</v>
      </c>
      <c r="GP173" s="438">
        <f>IFERROR(('!!'!$D173)*('!!'!Z172/('!!'!$G173)),0)</f>
        <v>0</v>
      </c>
      <c r="GQ173" s="438">
        <f>IFERROR(('!!'!$D173)*('!!'!Q173/('!!'!$G173)),0)</f>
        <v>0</v>
      </c>
      <c r="GR173" s="429">
        <v>1</v>
      </c>
      <c r="GS173" s="429">
        <v>2</v>
      </c>
      <c r="GT173" s="432">
        <f>Monitoring!C173</f>
        <v>0</v>
      </c>
      <c r="GU173" s="432">
        <f>Reference!$C173</f>
        <v>0</v>
      </c>
      <c r="GV173" s="429">
        <f>Reference!$D173</f>
        <v>0</v>
      </c>
      <c r="GW173" s="440">
        <f t="shared" si="46"/>
        <v>0</v>
      </c>
      <c r="GX173" s="440">
        <f t="shared" si="46"/>
        <v>0</v>
      </c>
      <c r="GY173" s="440">
        <f t="shared" si="46"/>
        <v>0</v>
      </c>
      <c r="GZ173" s="440">
        <f t="shared" si="46"/>
        <v>0</v>
      </c>
      <c r="HA173" s="440"/>
      <c r="HB173" s="440"/>
      <c r="HC173" s="440"/>
      <c r="HD173" s="440"/>
      <c r="HE173" s="429">
        <f t="shared" si="41"/>
        <v>149</v>
      </c>
      <c r="HF173" s="429">
        <f>SUM(GW173*Baseline!$P$24,GX173*Baseline!$P$25,GY173*Baseline!$P$26,GZ173*Baseline!$P$27,HA173*Baseline!$P$28,HB173*Baseline!$P$29,HC173*Baseline!$P$30,HD173*Baseline!$P$31,Baseline!$P$23)</f>
        <v>626.18362874044828</v>
      </c>
      <c r="HG173" s="455" t="e">
        <f t="shared" si="42"/>
        <v>#DIV/0!</v>
      </c>
      <c r="HH173" s="429" t="e">
        <f>IF(HG173&lt;=Baseline!$J$13,1,0)</f>
        <v>#DIV/0!</v>
      </c>
      <c r="HI173" s="429">
        <f t="shared" si="43"/>
        <v>392105.93690255558</v>
      </c>
      <c r="HJ173" s="429">
        <f t="shared" si="38"/>
        <v>48910903.069173105</v>
      </c>
      <c r="HK173" s="429">
        <f t="shared" si="39"/>
        <v>58061606.033611111</v>
      </c>
      <c r="HL173" s="429" t="str">
        <f>IF(HM173=Reference!$I$12,(HF173-GV173),"")</f>
        <v/>
      </c>
      <c r="HM173" s="429" t="str">
        <f>Reference!I173</f>
        <v/>
      </c>
      <c r="HN173" s="429" t="str">
        <f t="shared" si="44"/>
        <v/>
      </c>
    </row>
    <row r="174" spans="189:222" ht="17.25" customHeight="1" x14ac:dyDescent="0.35">
      <c r="GG174" s="432"/>
      <c r="GJ174" s="429" t="str">
        <f>IF(GK174=$GJ$15,$GJ$15,IF(GJ$24=HF$4,SUM(GK$25:GK174),SUM(GL$25:GL174)))</f>
        <v>N</v>
      </c>
      <c r="GK174" s="438" t="str">
        <f>IFERROR('!!'!G174-'!!'!D174,$GJ$15)</f>
        <v>N</v>
      </c>
      <c r="GL174" s="429" t="str">
        <f t="shared" si="40"/>
        <v>N</v>
      </c>
      <c r="GM174" s="438">
        <f>IFERROR(('!!'!$D174)*('!!'!W174/('!!'!$G174)),0)</f>
        <v>0</v>
      </c>
      <c r="GN174" s="438">
        <f>IFERROR(('!!'!$D174)*('!!'!X174/('!!'!$G174)),0)</f>
        <v>0</v>
      </c>
      <c r="GO174" s="438">
        <f>IFERROR(('!!'!$D174)*('!!'!Y174/('!!'!$G174)),0)</f>
        <v>0</v>
      </c>
      <c r="GP174" s="438">
        <f>IFERROR(('!!'!$D174)*('!!'!Z173/('!!'!$G174)),0)</f>
        <v>0</v>
      </c>
      <c r="GQ174" s="438">
        <f>IFERROR(('!!'!$D174)*('!!'!Q174/('!!'!$G174)),0)</f>
        <v>0</v>
      </c>
      <c r="GR174" s="429">
        <v>1</v>
      </c>
      <c r="GS174" s="429">
        <v>2</v>
      </c>
      <c r="GT174" s="432">
        <f>Monitoring!C174</f>
        <v>0</v>
      </c>
      <c r="GU174" s="432">
        <f>Reference!$C174</f>
        <v>0</v>
      </c>
      <c r="GV174" s="429">
        <f>Reference!$D174</f>
        <v>0</v>
      </c>
      <c r="GW174" s="440">
        <f t="shared" si="46"/>
        <v>0</v>
      </c>
      <c r="GX174" s="440">
        <f t="shared" si="46"/>
        <v>0</v>
      </c>
      <c r="GY174" s="440">
        <f t="shared" si="46"/>
        <v>0</v>
      </c>
      <c r="GZ174" s="440">
        <f t="shared" si="46"/>
        <v>0</v>
      </c>
      <c r="HA174" s="440"/>
      <c r="HB174" s="440"/>
      <c r="HC174" s="440"/>
      <c r="HD174" s="440"/>
      <c r="HE174" s="429">
        <f t="shared" si="41"/>
        <v>150</v>
      </c>
      <c r="HF174" s="429">
        <f>SUM(GW174*Baseline!$P$24,GX174*Baseline!$P$25,GY174*Baseline!$P$26,GZ174*Baseline!$P$27,HA174*Baseline!$P$28,HB174*Baseline!$P$29,HC174*Baseline!$P$30,HD174*Baseline!$P$31,Baseline!$P$23)</f>
        <v>626.18362874044828</v>
      </c>
      <c r="HG174" s="455" t="e">
        <f t="shared" si="42"/>
        <v>#DIV/0!</v>
      </c>
      <c r="HH174" s="429" t="e">
        <f>IF(HG174&lt;=Baseline!$J$13,1,0)</f>
        <v>#DIV/0!</v>
      </c>
      <c r="HI174" s="429">
        <f t="shared" si="43"/>
        <v>392105.93690255558</v>
      </c>
      <c r="HJ174" s="429">
        <f t="shared" si="38"/>
        <v>48910903.069173105</v>
      </c>
      <c r="HK174" s="429">
        <f t="shared" si="39"/>
        <v>58061606.033611111</v>
      </c>
      <c r="HL174" s="429" t="str">
        <f>IF(HM174=Reference!$I$12,(HF174-GV174),"")</f>
        <v/>
      </c>
      <c r="HM174" s="429" t="str">
        <f>Reference!I174</f>
        <v/>
      </c>
      <c r="HN174" s="429" t="str">
        <f t="shared" si="44"/>
        <v/>
      </c>
    </row>
    <row r="175" spans="189:222" ht="17.25" customHeight="1" x14ac:dyDescent="0.35">
      <c r="GG175" s="432"/>
      <c r="GJ175" s="429" t="str">
        <f>IF(GK175=$GJ$15,$GJ$15,IF(GJ$24=HF$4,SUM(GK$25:GK175),SUM(GL$25:GL175)))</f>
        <v>N</v>
      </c>
      <c r="GK175" s="438" t="str">
        <f>IFERROR('!!'!G175-'!!'!D175,$GJ$15)</f>
        <v>N</v>
      </c>
      <c r="GL175" s="429" t="str">
        <f t="shared" si="40"/>
        <v>N</v>
      </c>
      <c r="GM175" s="438">
        <f>IFERROR(('!!'!$D175)*('!!'!W175/('!!'!$G175)),0)</f>
        <v>0</v>
      </c>
      <c r="GN175" s="438">
        <f>IFERROR(('!!'!$D175)*('!!'!X175/('!!'!$G175)),0)</f>
        <v>0</v>
      </c>
      <c r="GO175" s="438">
        <f>IFERROR(('!!'!$D175)*('!!'!Y175/('!!'!$G175)),0)</f>
        <v>0</v>
      </c>
      <c r="GP175" s="438">
        <f>IFERROR(('!!'!$D175)*('!!'!Z174/('!!'!$G175)),0)</f>
        <v>0</v>
      </c>
      <c r="GQ175" s="438">
        <f>IFERROR(('!!'!$D175)*('!!'!Q175/('!!'!$G175)),0)</f>
        <v>0</v>
      </c>
      <c r="GR175" s="429">
        <v>1</v>
      </c>
      <c r="GS175" s="429">
        <v>2</v>
      </c>
      <c r="GT175" s="432">
        <f>Monitoring!C175</f>
        <v>0</v>
      </c>
      <c r="GU175" s="432">
        <f>Reference!$C175</f>
        <v>0</v>
      </c>
      <c r="GV175" s="429">
        <f>Reference!$D175</f>
        <v>0</v>
      </c>
      <c r="GW175" s="440">
        <f t="shared" ref="GW175:GZ184" si="47">IFERROR(VLOOKUP($GU175,Daten.B,GW$22,FALSE)^GW$23,0)</f>
        <v>0</v>
      </c>
      <c r="GX175" s="440">
        <f t="shared" si="47"/>
        <v>0</v>
      </c>
      <c r="GY175" s="440">
        <f t="shared" si="47"/>
        <v>0</v>
      </c>
      <c r="GZ175" s="440">
        <f t="shared" si="47"/>
        <v>0</v>
      </c>
      <c r="HA175" s="440"/>
      <c r="HB175" s="440"/>
      <c r="HC175" s="440"/>
      <c r="HD175" s="440"/>
      <c r="HE175" s="429">
        <f t="shared" si="41"/>
        <v>151</v>
      </c>
      <c r="HF175" s="429">
        <f>SUM(GW175*Baseline!$P$24,GX175*Baseline!$P$25,GY175*Baseline!$P$26,GZ175*Baseline!$P$27,HA175*Baseline!$P$28,HB175*Baseline!$P$29,HC175*Baseline!$P$30,HD175*Baseline!$P$31,Baseline!$P$23)</f>
        <v>626.18362874044828</v>
      </c>
      <c r="HG175" s="455" t="e">
        <f t="shared" si="42"/>
        <v>#DIV/0!</v>
      </c>
      <c r="HH175" s="429" t="e">
        <f>IF(HG175&lt;=Baseline!$J$13,1,0)</f>
        <v>#DIV/0!</v>
      </c>
      <c r="HI175" s="429">
        <f t="shared" si="43"/>
        <v>392105.93690255558</v>
      </c>
      <c r="HJ175" s="429">
        <f t="shared" si="38"/>
        <v>48910903.069173105</v>
      </c>
      <c r="HK175" s="429">
        <f t="shared" si="39"/>
        <v>58061606.033611111</v>
      </c>
      <c r="HL175" s="429" t="str">
        <f>IF(HM175=Reference!$I$12,(HF175-GV175),"")</f>
        <v/>
      </c>
      <c r="HM175" s="429" t="str">
        <f>Reference!I175</f>
        <v/>
      </c>
      <c r="HN175" s="429" t="str">
        <f t="shared" si="44"/>
        <v/>
      </c>
    </row>
    <row r="176" spans="189:222" ht="17.25" customHeight="1" x14ac:dyDescent="0.35">
      <c r="GG176" s="432"/>
      <c r="GJ176" s="429" t="str">
        <f>IF(GK176=$GJ$15,$GJ$15,IF(GJ$24=HF$4,SUM(GK$25:GK176),SUM(GL$25:GL176)))</f>
        <v>N</v>
      </c>
      <c r="GK176" s="438" t="str">
        <f>IFERROR('!!'!G176-'!!'!D176,$GJ$15)</f>
        <v>N</v>
      </c>
      <c r="GL176" s="429" t="str">
        <f t="shared" si="40"/>
        <v>N</v>
      </c>
      <c r="GM176" s="438">
        <f>IFERROR(('!!'!$D176)*('!!'!W176/('!!'!$G176)),0)</f>
        <v>0</v>
      </c>
      <c r="GN176" s="438">
        <f>IFERROR(('!!'!$D176)*('!!'!X176/('!!'!$G176)),0)</f>
        <v>0</v>
      </c>
      <c r="GO176" s="438">
        <f>IFERROR(('!!'!$D176)*('!!'!Y176/('!!'!$G176)),0)</f>
        <v>0</v>
      </c>
      <c r="GP176" s="438">
        <f>IFERROR(('!!'!$D176)*('!!'!Z175/('!!'!$G176)),0)</f>
        <v>0</v>
      </c>
      <c r="GQ176" s="438">
        <f>IFERROR(('!!'!$D176)*('!!'!Q176/('!!'!$G176)),0)</f>
        <v>0</v>
      </c>
      <c r="GR176" s="429">
        <v>1</v>
      </c>
      <c r="GS176" s="429">
        <v>2</v>
      </c>
      <c r="GT176" s="432">
        <f>Monitoring!C176</f>
        <v>0</v>
      </c>
      <c r="GU176" s="432">
        <f>Reference!$C176</f>
        <v>0</v>
      </c>
      <c r="GV176" s="429">
        <f>Reference!$D176</f>
        <v>0</v>
      </c>
      <c r="GW176" s="440">
        <f t="shared" si="47"/>
        <v>0</v>
      </c>
      <c r="GX176" s="440">
        <f t="shared" si="47"/>
        <v>0</v>
      </c>
      <c r="GY176" s="440">
        <f t="shared" si="47"/>
        <v>0</v>
      </c>
      <c r="GZ176" s="440">
        <f t="shared" si="47"/>
        <v>0</v>
      </c>
      <c r="HA176" s="440"/>
      <c r="HB176" s="440"/>
      <c r="HC176" s="440"/>
      <c r="HD176" s="440"/>
      <c r="HE176" s="429">
        <f t="shared" si="41"/>
        <v>152</v>
      </c>
      <c r="HF176" s="429">
        <f>SUM(GW176*Baseline!$P$24,GX176*Baseline!$P$25,GY176*Baseline!$P$26,GZ176*Baseline!$P$27,HA176*Baseline!$P$28,HB176*Baseline!$P$29,HC176*Baseline!$P$30,HD176*Baseline!$P$31,Baseline!$P$23)</f>
        <v>626.18362874044828</v>
      </c>
      <c r="HG176" s="455" t="e">
        <f t="shared" si="42"/>
        <v>#DIV/0!</v>
      </c>
      <c r="HH176" s="429" t="e">
        <f>IF(HG176&lt;=Baseline!$J$13,1,0)</f>
        <v>#DIV/0!</v>
      </c>
      <c r="HI176" s="429">
        <f t="shared" si="43"/>
        <v>392105.93690255558</v>
      </c>
      <c r="HJ176" s="429">
        <f t="shared" si="38"/>
        <v>48910903.069173105</v>
      </c>
      <c r="HK176" s="429">
        <f t="shared" si="39"/>
        <v>58061606.033611111</v>
      </c>
      <c r="HL176" s="429" t="str">
        <f>IF(HM176=Reference!$I$12,(HF176-GV176),"")</f>
        <v/>
      </c>
      <c r="HM176" s="429" t="str">
        <f>Reference!I176</f>
        <v/>
      </c>
      <c r="HN176" s="429" t="str">
        <f t="shared" si="44"/>
        <v/>
      </c>
    </row>
    <row r="177" spans="189:222" ht="17.25" customHeight="1" x14ac:dyDescent="0.35">
      <c r="GG177" s="432"/>
      <c r="GJ177" s="429" t="str">
        <f>IF(GK177=$GJ$15,$GJ$15,IF(GJ$24=HF$4,SUM(GK$25:GK177),SUM(GL$25:GL177)))</f>
        <v>N</v>
      </c>
      <c r="GK177" s="438" t="str">
        <f>IFERROR('!!'!G177-'!!'!D177,$GJ$15)</f>
        <v>N</v>
      </c>
      <c r="GL177" s="429" t="str">
        <f t="shared" si="40"/>
        <v>N</v>
      </c>
      <c r="GM177" s="438">
        <f>IFERROR(('!!'!$D177)*('!!'!W177/('!!'!$G177)),0)</f>
        <v>0</v>
      </c>
      <c r="GN177" s="438">
        <f>IFERROR(('!!'!$D177)*('!!'!X177/('!!'!$G177)),0)</f>
        <v>0</v>
      </c>
      <c r="GO177" s="438">
        <f>IFERROR(('!!'!$D177)*('!!'!Y177/('!!'!$G177)),0)</f>
        <v>0</v>
      </c>
      <c r="GP177" s="438">
        <f>IFERROR(('!!'!$D177)*('!!'!Z176/('!!'!$G177)),0)</f>
        <v>0</v>
      </c>
      <c r="GQ177" s="438">
        <f>IFERROR(('!!'!$D177)*('!!'!Q177/('!!'!$G177)),0)</f>
        <v>0</v>
      </c>
      <c r="GR177" s="429">
        <v>1</v>
      </c>
      <c r="GS177" s="429">
        <v>2</v>
      </c>
      <c r="GT177" s="432">
        <f>Monitoring!C177</f>
        <v>0</v>
      </c>
      <c r="GU177" s="432">
        <f>Reference!$C177</f>
        <v>0</v>
      </c>
      <c r="GV177" s="429">
        <f>Reference!$D177</f>
        <v>0</v>
      </c>
      <c r="GW177" s="440">
        <f t="shared" si="47"/>
        <v>0</v>
      </c>
      <c r="GX177" s="440">
        <f t="shared" si="47"/>
        <v>0</v>
      </c>
      <c r="GY177" s="440">
        <f t="shared" si="47"/>
        <v>0</v>
      </c>
      <c r="GZ177" s="440">
        <f t="shared" si="47"/>
        <v>0</v>
      </c>
      <c r="HA177" s="440"/>
      <c r="HB177" s="440"/>
      <c r="HC177" s="440"/>
      <c r="HD177" s="440"/>
      <c r="HE177" s="429">
        <f t="shared" si="41"/>
        <v>153</v>
      </c>
      <c r="HF177" s="429">
        <f>SUM(GW177*Baseline!$P$24,GX177*Baseline!$P$25,GY177*Baseline!$P$26,GZ177*Baseline!$P$27,HA177*Baseline!$P$28,HB177*Baseline!$P$29,HC177*Baseline!$P$30,HD177*Baseline!$P$31,Baseline!$P$23)</f>
        <v>626.18362874044828</v>
      </c>
      <c r="HG177" s="455" t="e">
        <f t="shared" si="42"/>
        <v>#DIV/0!</v>
      </c>
      <c r="HH177" s="429" t="e">
        <f>IF(HG177&lt;=Baseline!$J$13,1,0)</f>
        <v>#DIV/0!</v>
      </c>
      <c r="HI177" s="429">
        <f t="shared" si="43"/>
        <v>392105.93690255558</v>
      </c>
      <c r="HJ177" s="429">
        <f t="shared" si="38"/>
        <v>48910903.069173105</v>
      </c>
      <c r="HK177" s="429">
        <f t="shared" si="39"/>
        <v>58061606.033611111</v>
      </c>
      <c r="HL177" s="429" t="str">
        <f>IF(HM177=Reference!$I$12,(HF177-GV177),"")</f>
        <v/>
      </c>
      <c r="HM177" s="429" t="str">
        <f>Reference!I177</f>
        <v/>
      </c>
      <c r="HN177" s="429" t="str">
        <f t="shared" si="44"/>
        <v/>
      </c>
    </row>
    <row r="178" spans="189:222" ht="17.25" customHeight="1" x14ac:dyDescent="0.35">
      <c r="GG178" s="432"/>
      <c r="GJ178" s="429" t="str">
        <f>IF(GK178=$GJ$15,$GJ$15,IF(GJ$24=HF$4,SUM(GK$25:GK178),SUM(GL$25:GL178)))</f>
        <v>N</v>
      </c>
      <c r="GK178" s="438" t="str">
        <f>IFERROR('!!'!G178-'!!'!D178,$GJ$15)</f>
        <v>N</v>
      </c>
      <c r="GL178" s="429" t="str">
        <f t="shared" si="40"/>
        <v>N</v>
      </c>
      <c r="GM178" s="438">
        <f>IFERROR(('!!'!$D178)*('!!'!W178/('!!'!$G178)),0)</f>
        <v>0</v>
      </c>
      <c r="GN178" s="438">
        <f>IFERROR(('!!'!$D178)*('!!'!X178/('!!'!$G178)),0)</f>
        <v>0</v>
      </c>
      <c r="GO178" s="438">
        <f>IFERROR(('!!'!$D178)*('!!'!Y178/('!!'!$G178)),0)</f>
        <v>0</v>
      </c>
      <c r="GP178" s="438">
        <f>IFERROR(('!!'!$D178)*('!!'!Z177/('!!'!$G178)),0)</f>
        <v>0</v>
      </c>
      <c r="GQ178" s="438">
        <f>IFERROR(('!!'!$D178)*('!!'!Q178/('!!'!$G178)),0)</f>
        <v>0</v>
      </c>
      <c r="GR178" s="429">
        <v>1</v>
      </c>
      <c r="GS178" s="429">
        <v>2</v>
      </c>
      <c r="GT178" s="432">
        <f>Monitoring!C178</f>
        <v>0</v>
      </c>
      <c r="GU178" s="432">
        <f>Reference!$C178</f>
        <v>0</v>
      </c>
      <c r="GV178" s="429">
        <f>Reference!$D178</f>
        <v>0</v>
      </c>
      <c r="GW178" s="440">
        <f t="shared" si="47"/>
        <v>0</v>
      </c>
      <c r="GX178" s="440">
        <f t="shared" si="47"/>
        <v>0</v>
      </c>
      <c r="GY178" s="440">
        <f t="shared" si="47"/>
        <v>0</v>
      </c>
      <c r="GZ178" s="440">
        <f t="shared" si="47"/>
        <v>0</v>
      </c>
      <c r="HA178" s="440"/>
      <c r="HB178" s="440"/>
      <c r="HC178" s="440"/>
      <c r="HD178" s="440"/>
      <c r="HE178" s="429">
        <f t="shared" si="41"/>
        <v>154</v>
      </c>
      <c r="HF178" s="429">
        <f>SUM(GW178*Baseline!$P$24,GX178*Baseline!$P$25,GY178*Baseline!$P$26,GZ178*Baseline!$P$27,HA178*Baseline!$P$28,HB178*Baseline!$P$29,HC178*Baseline!$P$30,HD178*Baseline!$P$31,Baseline!$P$23)</f>
        <v>626.18362874044828</v>
      </c>
      <c r="HG178" s="455" t="e">
        <f t="shared" si="42"/>
        <v>#DIV/0!</v>
      </c>
      <c r="HH178" s="429" t="e">
        <f>IF(HG178&lt;=Baseline!$J$13,1,0)</f>
        <v>#DIV/0!</v>
      </c>
      <c r="HI178" s="429">
        <f t="shared" si="43"/>
        <v>392105.93690255558</v>
      </c>
      <c r="HJ178" s="429">
        <f t="shared" si="38"/>
        <v>48910903.069173105</v>
      </c>
      <c r="HK178" s="429">
        <f t="shared" si="39"/>
        <v>58061606.033611111</v>
      </c>
      <c r="HL178" s="429" t="str">
        <f>IF(HM178=Reference!$I$12,(HF178-GV178),"")</f>
        <v/>
      </c>
      <c r="HM178" s="429" t="str">
        <f>Reference!I178</f>
        <v/>
      </c>
      <c r="HN178" s="429" t="str">
        <f t="shared" si="44"/>
        <v/>
      </c>
    </row>
    <row r="179" spans="189:222" ht="17.25" customHeight="1" x14ac:dyDescent="0.35">
      <c r="GG179" s="432"/>
      <c r="GJ179" s="429" t="str">
        <f>IF(GK179=$GJ$15,$GJ$15,IF(GJ$24=HF$4,SUM(GK$25:GK179),SUM(GL$25:GL179)))</f>
        <v>N</v>
      </c>
      <c r="GK179" s="438" t="str">
        <f>IFERROR('!!'!G179-'!!'!D179,$GJ$15)</f>
        <v>N</v>
      </c>
      <c r="GL179" s="429" t="str">
        <f t="shared" si="40"/>
        <v>N</v>
      </c>
      <c r="GM179" s="438">
        <f>IFERROR(('!!'!$D179)*('!!'!W179/('!!'!$G179)),0)</f>
        <v>0</v>
      </c>
      <c r="GN179" s="438">
        <f>IFERROR(('!!'!$D179)*('!!'!X179/('!!'!$G179)),0)</f>
        <v>0</v>
      </c>
      <c r="GO179" s="438">
        <f>IFERROR(('!!'!$D179)*('!!'!Y179/('!!'!$G179)),0)</f>
        <v>0</v>
      </c>
      <c r="GP179" s="438">
        <f>IFERROR(('!!'!$D179)*('!!'!Z178/('!!'!$G179)),0)</f>
        <v>0</v>
      </c>
      <c r="GQ179" s="438">
        <f>IFERROR(('!!'!$D179)*('!!'!Q179/('!!'!$G179)),0)</f>
        <v>0</v>
      </c>
      <c r="GR179" s="429">
        <v>1</v>
      </c>
      <c r="GS179" s="429">
        <v>2</v>
      </c>
      <c r="GT179" s="432">
        <f>Monitoring!C179</f>
        <v>0</v>
      </c>
      <c r="GU179" s="432">
        <f>Reference!$C179</f>
        <v>0</v>
      </c>
      <c r="GV179" s="429">
        <f>Reference!$D179</f>
        <v>0</v>
      </c>
      <c r="GW179" s="440">
        <f t="shared" si="47"/>
        <v>0</v>
      </c>
      <c r="GX179" s="440">
        <f t="shared" si="47"/>
        <v>0</v>
      </c>
      <c r="GY179" s="440">
        <f t="shared" si="47"/>
        <v>0</v>
      </c>
      <c r="GZ179" s="440">
        <f t="shared" si="47"/>
        <v>0</v>
      </c>
      <c r="HA179" s="440"/>
      <c r="HB179" s="440"/>
      <c r="HC179" s="440"/>
      <c r="HD179" s="440"/>
      <c r="HE179" s="429">
        <f t="shared" si="41"/>
        <v>155</v>
      </c>
      <c r="HF179" s="429">
        <f>SUM(GW179*Baseline!$P$24,GX179*Baseline!$P$25,GY179*Baseline!$P$26,GZ179*Baseline!$P$27,HA179*Baseline!$P$28,HB179*Baseline!$P$29,HC179*Baseline!$P$30,HD179*Baseline!$P$31,Baseline!$P$23)</f>
        <v>626.18362874044828</v>
      </c>
      <c r="HG179" s="455" t="e">
        <f t="shared" si="42"/>
        <v>#DIV/0!</v>
      </c>
      <c r="HH179" s="429" t="e">
        <f>IF(HG179&lt;=Baseline!$J$13,1,0)</f>
        <v>#DIV/0!</v>
      </c>
      <c r="HI179" s="429">
        <f t="shared" si="43"/>
        <v>392105.93690255558</v>
      </c>
      <c r="HJ179" s="429">
        <f t="shared" si="38"/>
        <v>48910903.069173105</v>
      </c>
      <c r="HK179" s="429">
        <f t="shared" si="39"/>
        <v>58061606.033611111</v>
      </c>
      <c r="HL179" s="429" t="str">
        <f>IF(HM179=Reference!$I$12,(HF179-GV179),"")</f>
        <v/>
      </c>
      <c r="HM179" s="429" t="str">
        <f>Reference!I179</f>
        <v/>
      </c>
      <c r="HN179" s="429" t="str">
        <f t="shared" si="44"/>
        <v/>
      </c>
    </row>
    <row r="180" spans="189:222" ht="17.25" customHeight="1" x14ac:dyDescent="0.35">
      <c r="GG180" s="432"/>
      <c r="GJ180" s="429" t="str">
        <f>IF(GK180=$GJ$15,$GJ$15,IF(GJ$24=HF$4,SUM(GK$25:GK180),SUM(GL$25:GL180)))</f>
        <v>N</v>
      </c>
      <c r="GK180" s="438" t="str">
        <f>IFERROR('!!'!G180-'!!'!D180,$GJ$15)</f>
        <v>N</v>
      </c>
      <c r="GL180" s="429" t="str">
        <f t="shared" si="40"/>
        <v>N</v>
      </c>
      <c r="GM180" s="438">
        <f>IFERROR(('!!'!$D180)*('!!'!W180/('!!'!$G180)),0)</f>
        <v>0</v>
      </c>
      <c r="GN180" s="438">
        <f>IFERROR(('!!'!$D180)*('!!'!X180/('!!'!$G180)),0)</f>
        <v>0</v>
      </c>
      <c r="GO180" s="438">
        <f>IFERROR(('!!'!$D180)*('!!'!Y180/('!!'!$G180)),0)</f>
        <v>0</v>
      </c>
      <c r="GP180" s="438">
        <f>IFERROR(('!!'!$D180)*('!!'!Z179/('!!'!$G180)),0)</f>
        <v>0</v>
      </c>
      <c r="GQ180" s="438">
        <f>IFERROR(('!!'!$D180)*('!!'!Q180/('!!'!$G180)),0)</f>
        <v>0</v>
      </c>
      <c r="GR180" s="429">
        <v>1</v>
      </c>
      <c r="GS180" s="429">
        <v>2</v>
      </c>
      <c r="GT180" s="432">
        <f>Monitoring!C180</f>
        <v>0</v>
      </c>
      <c r="GU180" s="432">
        <f>Reference!$C180</f>
        <v>0</v>
      </c>
      <c r="GV180" s="429">
        <f>Reference!$D180</f>
        <v>0</v>
      </c>
      <c r="GW180" s="440">
        <f t="shared" si="47"/>
        <v>0</v>
      </c>
      <c r="GX180" s="440">
        <f t="shared" si="47"/>
        <v>0</v>
      </c>
      <c r="GY180" s="440">
        <f t="shared" si="47"/>
        <v>0</v>
      </c>
      <c r="GZ180" s="440">
        <f t="shared" si="47"/>
        <v>0</v>
      </c>
      <c r="HA180" s="440"/>
      <c r="HB180" s="440"/>
      <c r="HC180" s="440"/>
      <c r="HD180" s="440"/>
      <c r="HE180" s="429">
        <f t="shared" si="41"/>
        <v>156</v>
      </c>
      <c r="HF180" s="429">
        <f>SUM(GW180*Baseline!$P$24,GX180*Baseline!$P$25,GY180*Baseline!$P$26,GZ180*Baseline!$P$27,HA180*Baseline!$P$28,HB180*Baseline!$P$29,HC180*Baseline!$P$30,HD180*Baseline!$P$31,Baseline!$P$23)</f>
        <v>626.18362874044828</v>
      </c>
      <c r="HG180" s="455" t="e">
        <f t="shared" si="42"/>
        <v>#DIV/0!</v>
      </c>
      <c r="HH180" s="429" t="e">
        <f>IF(HG180&lt;=Baseline!$J$13,1,0)</f>
        <v>#DIV/0!</v>
      </c>
      <c r="HI180" s="429">
        <f t="shared" si="43"/>
        <v>392105.93690255558</v>
      </c>
      <c r="HJ180" s="429">
        <f t="shared" si="38"/>
        <v>48910903.069173105</v>
      </c>
      <c r="HK180" s="429">
        <f t="shared" si="39"/>
        <v>58061606.033611111</v>
      </c>
      <c r="HL180" s="429" t="str">
        <f>IF(HM180=Reference!$I$12,(HF180-GV180),"")</f>
        <v/>
      </c>
      <c r="HM180" s="429" t="str">
        <f>Reference!I180</f>
        <v/>
      </c>
      <c r="HN180" s="429" t="str">
        <f t="shared" si="44"/>
        <v/>
      </c>
    </row>
    <row r="181" spans="189:222" ht="17.25" customHeight="1" x14ac:dyDescent="0.35">
      <c r="GG181" s="432"/>
      <c r="GJ181" s="429" t="str">
        <f>IF(GK181=$GJ$15,$GJ$15,IF(GJ$24=HF$4,SUM(GK$25:GK181),SUM(GL$25:GL181)))</f>
        <v>N</v>
      </c>
      <c r="GK181" s="438" t="str">
        <f>IFERROR('!!'!G181-'!!'!D181,$GJ$15)</f>
        <v>N</v>
      </c>
      <c r="GL181" s="429" t="str">
        <f t="shared" si="40"/>
        <v>N</v>
      </c>
      <c r="GM181" s="438">
        <f>IFERROR(('!!'!$D181)*('!!'!W181/('!!'!$G181)),0)</f>
        <v>0</v>
      </c>
      <c r="GN181" s="438">
        <f>IFERROR(('!!'!$D181)*('!!'!X181/('!!'!$G181)),0)</f>
        <v>0</v>
      </c>
      <c r="GO181" s="438">
        <f>IFERROR(('!!'!$D181)*('!!'!Y181/('!!'!$G181)),0)</f>
        <v>0</v>
      </c>
      <c r="GP181" s="438">
        <f>IFERROR(('!!'!$D181)*('!!'!Z180/('!!'!$G181)),0)</f>
        <v>0</v>
      </c>
      <c r="GQ181" s="438">
        <f>IFERROR(('!!'!$D181)*('!!'!Q181/('!!'!$G181)),0)</f>
        <v>0</v>
      </c>
      <c r="GR181" s="429">
        <v>1</v>
      </c>
      <c r="GS181" s="429">
        <v>2</v>
      </c>
      <c r="GT181" s="432">
        <f>Monitoring!C181</f>
        <v>0</v>
      </c>
      <c r="GU181" s="432">
        <f>Reference!$C181</f>
        <v>0</v>
      </c>
      <c r="GV181" s="429">
        <f>Reference!$D181</f>
        <v>0</v>
      </c>
      <c r="GW181" s="440">
        <f t="shared" si="47"/>
        <v>0</v>
      </c>
      <c r="GX181" s="440">
        <f t="shared" si="47"/>
        <v>0</v>
      </c>
      <c r="GY181" s="440">
        <f t="shared" si="47"/>
        <v>0</v>
      </c>
      <c r="GZ181" s="440">
        <f t="shared" si="47"/>
        <v>0</v>
      </c>
      <c r="HA181" s="440"/>
      <c r="HB181" s="440"/>
      <c r="HC181" s="440"/>
      <c r="HD181" s="440"/>
      <c r="HE181" s="429">
        <f t="shared" si="41"/>
        <v>157</v>
      </c>
      <c r="HF181" s="429">
        <f>SUM(GW181*Baseline!$P$24,GX181*Baseline!$P$25,GY181*Baseline!$P$26,GZ181*Baseline!$P$27,HA181*Baseline!$P$28,HB181*Baseline!$P$29,HC181*Baseline!$P$30,HD181*Baseline!$P$31,Baseline!$P$23)</f>
        <v>626.18362874044828</v>
      </c>
      <c r="HG181" s="455" t="e">
        <f t="shared" si="42"/>
        <v>#DIV/0!</v>
      </c>
      <c r="HH181" s="429" t="e">
        <f>IF(HG181&lt;=Baseline!$J$13,1,0)</f>
        <v>#DIV/0!</v>
      </c>
      <c r="HI181" s="429">
        <f t="shared" si="43"/>
        <v>392105.93690255558</v>
      </c>
      <c r="HJ181" s="429">
        <f t="shared" si="38"/>
        <v>48910903.069173105</v>
      </c>
      <c r="HK181" s="429">
        <f t="shared" si="39"/>
        <v>58061606.033611111</v>
      </c>
      <c r="HL181" s="429" t="str">
        <f>IF(HM181=Reference!$I$12,(HF181-GV181),"")</f>
        <v/>
      </c>
      <c r="HM181" s="429" t="str">
        <f>Reference!I181</f>
        <v/>
      </c>
      <c r="HN181" s="429" t="str">
        <f t="shared" si="44"/>
        <v/>
      </c>
    </row>
    <row r="182" spans="189:222" ht="17.25" customHeight="1" x14ac:dyDescent="0.35">
      <c r="GG182" s="432"/>
      <c r="GJ182" s="429" t="str">
        <f>IF(GK182=$GJ$15,$GJ$15,IF(GJ$24=HF$4,SUM(GK$25:GK182),SUM(GL$25:GL182)))</f>
        <v>N</v>
      </c>
      <c r="GK182" s="438" t="str">
        <f>IFERROR('!!'!G182-'!!'!D182,$GJ$15)</f>
        <v>N</v>
      </c>
      <c r="GL182" s="429" t="str">
        <f t="shared" si="40"/>
        <v>N</v>
      </c>
      <c r="GM182" s="438">
        <f>IFERROR(('!!'!$D182)*('!!'!W182/('!!'!$G182)),0)</f>
        <v>0</v>
      </c>
      <c r="GN182" s="438">
        <f>IFERROR(('!!'!$D182)*('!!'!X182/('!!'!$G182)),0)</f>
        <v>0</v>
      </c>
      <c r="GO182" s="438">
        <f>IFERROR(('!!'!$D182)*('!!'!Y182/('!!'!$G182)),0)</f>
        <v>0</v>
      </c>
      <c r="GP182" s="438">
        <f>IFERROR(('!!'!$D182)*('!!'!Z181/('!!'!$G182)),0)</f>
        <v>0</v>
      </c>
      <c r="GQ182" s="438">
        <f>IFERROR(('!!'!$D182)*('!!'!Q182/('!!'!$G182)),0)</f>
        <v>0</v>
      </c>
      <c r="GR182" s="429">
        <v>1</v>
      </c>
      <c r="GS182" s="429">
        <v>2</v>
      </c>
      <c r="GT182" s="432">
        <f>Monitoring!C182</f>
        <v>0</v>
      </c>
      <c r="GU182" s="432">
        <f>Reference!$C182</f>
        <v>0</v>
      </c>
      <c r="GV182" s="429">
        <f>Reference!$D182</f>
        <v>0</v>
      </c>
      <c r="GW182" s="440">
        <f t="shared" si="47"/>
        <v>0</v>
      </c>
      <c r="GX182" s="440">
        <f t="shared" si="47"/>
        <v>0</v>
      </c>
      <c r="GY182" s="440">
        <f t="shared" si="47"/>
        <v>0</v>
      </c>
      <c r="GZ182" s="440">
        <f t="shared" si="47"/>
        <v>0</v>
      </c>
      <c r="HA182" s="440"/>
      <c r="HB182" s="440"/>
      <c r="HC182" s="440"/>
      <c r="HD182" s="440"/>
      <c r="HE182" s="429">
        <f t="shared" si="41"/>
        <v>158</v>
      </c>
      <c r="HF182" s="429">
        <f>SUM(GW182*Baseline!$P$24,GX182*Baseline!$P$25,GY182*Baseline!$P$26,GZ182*Baseline!$P$27,HA182*Baseline!$P$28,HB182*Baseline!$P$29,HC182*Baseline!$P$30,HD182*Baseline!$P$31,Baseline!$P$23)</f>
        <v>626.18362874044828</v>
      </c>
      <c r="HG182" s="455" t="e">
        <f t="shared" si="42"/>
        <v>#DIV/0!</v>
      </c>
      <c r="HH182" s="429" t="e">
        <f>IF(HG182&lt;=Baseline!$J$13,1,0)</f>
        <v>#DIV/0!</v>
      </c>
      <c r="HI182" s="429">
        <f t="shared" si="43"/>
        <v>392105.93690255558</v>
      </c>
      <c r="HJ182" s="429">
        <f t="shared" si="38"/>
        <v>48910903.069173105</v>
      </c>
      <c r="HK182" s="429">
        <f t="shared" si="39"/>
        <v>58061606.033611111</v>
      </c>
      <c r="HL182" s="429" t="str">
        <f>IF(HM182=Reference!$I$12,(HF182-GV182),"")</f>
        <v/>
      </c>
      <c r="HM182" s="429" t="str">
        <f>Reference!I182</f>
        <v/>
      </c>
      <c r="HN182" s="429" t="str">
        <f t="shared" si="44"/>
        <v/>
      </c>
    </row>
    <row r="183" spans="189:222" ht="17.25" customHeight="1" x14ac:dyDescent="0.35">
      <c r="GG183" s="432"/>
      <c r="GJ183" s="429" t="str">
        <f>IF(GK183=$GJ$15,$GJ$15,IF(GJ$24=HF$4,SUM(GK$25:GK183),SUM(GL$25:GL183)))</f>
        <v>N</v>
      </c>
      <c r="GK183" s="438" t="str">
        <f>IFERROR('!!'!G183-'!!'!D183,$GJ$15)</f>
        <v>N</v>
      </c>
      <c r="GL183" s="429" t="str">
        <f t="shared" si="40"/>
        <v>N</v>
      </c>
      <c r="GM183" s="438">
        <f>IFERROR(('!!'!$D183)*('!!'!W183/('!!'!$G183)),0)</f>
        <v>0</v>
      </c>
      <c r="GN183" s="438">
        <f>IFERROR(('!!'!$D183)*('!!'!X183/('!!'!$G183)),0)</f>
        <v>0</v>
      </c>
      <c r="GO183" s="438">
        <f>IFERROR(('!!'!$D183)*('!!'!Y183/('!!'!$G183)),0)</f>
        <v>0</v>
      </c>
      <c r="GP183" s="438">
        <f>IFERROR(('!!'!$D183)*('!!'!Z182/('!!'!$G183)),0)</f>
        <v>0</v>
      </c>
      <c r="GQ183" s="438">
        <f>IFERROR(('!!'!$D183)*('!!'!Q183/('!!'!$G183)),0)</f>
        <v>0</v>
      </c>
      <c r="GR183" s="429">
        <v>1</v>
      </c>
      <c r="GS183" s="429">
        <v>2</v>
      </c>
      <c r="GT183" s="432">
        <f>Monitoring!C183</f>
        <v>0</v>
      </c>
      <c r="GU183" s="432">
        <f>Reference!$C183</f>
        <v>0</v>
      </c>
      <c r="GV183" s="429">
        <f>Reference!$D183</f>
        <v>0</v>
      </c>
      <c r="GW183" s="440">
        <f t="shared" si="47"/>
        <v>0</v>
      </c>
      <c r="GX183" s="440">
        <f t="shared" si="47"/>
        <v>0</v>
      </c>
      <c r="GY183" s="440">
        <f t="shared" si="47"/>
        <v>0</v>
      </c>
      <c r="GZ183" s="440">
        <f t="shared" si="47"/>
        <v>0</v>
      </c>
      <c r="HA183" s="440"/>
      <c r="HB183" s="440"/>
      <c r="HC183" s="440"/>
      <c r="HD183" s="440"/>
      <c r="HE183" s="429">
        <f t="shared" si="41"/>
        <v>159</v>
      </c>
      <c r="HF183" s="429">
        <f>SUM(GW183*Baseline!$P$24,GX183*Baseline!$P$25,GY183*Baseline!$P$26,GZ183*Baseline!$P$27,HA183*Baseline!$P$28,HB183*Baseline!$P$29,HC183*Baseline!$P$30,HD183*Baseline!$P$31,Baseline!$P$23)</f>
        <v>626.18362874044828</v>
      </c>
      <c r="HG183" s="455" t="e">
        <f t="shared" si="42"/>
        <v>#DIV/0!</v>
      </c>
      <c r="HH183" s="429" t="e">
        <f>IF(HG183&lt;=Baseline!$J$13,1,0)</f>
        <v>#DIV/0!</v>
      </c>
      <c r="HI183" s="429">
        <f t="shared" si="43"/>
        <v>392105.93690255558</v>
      </c>
      <c r="HJ183" s="429">
        <f t="shared" si="38"/>
        <v>48910903.069173105</v>
      </c>
      <c r="HK183" s="429">
        <f t="shared" si="39"/>
        <v>58061606.033611111</v>
      </c>
      <c r="HL183" s="429" t="str">
        <f>IF(HM183=Reference!$I$12,(HF183-GV183),"")</f>
        <v/>
      </c>
      <c r="HM183" s="429" t="str">
        <f>Reference!I183</f>
        <v/>
      </c>
      <c r="HN183" s="429" t="str">
        <f t="shared" si="44"/>
        <v/>
      </c>
    </row>
    <row r="184" spans="189:222" ht="17.25" customHeight="1" x14ac:dyDescent="0.35">
      <c r="GG184" s="432"/>
      <c r="GJ184" s="429" t="str">
        <f>IF(GK184=$GJ$15,$GJ$15,IF(GJ$24=HF$4,SUM(GK$25:GK184),SUM(GL$25:GL184)))</f>
        <v>N</v>
      </c>
      <c r="GK184" s="438" t="str">
        <f>IFERROR('!!'!G184-'!!'!D184,$GJ$15)</f>
        <v>N</v>
      </c>
      <c r="GL184" s="429" t="str">
        <f t="shared" si="40"/>
        <v>N</v>
      </c>
      <c r="GM184" s="438">
        <f>IFERROR(('!!'!$D184)*('!!'!W184/('!!'!$G184)),0)</f>
        <v>0</v>
      </c>
      <c r="GN184" s="438">
        <f>IFERROR(('!!'!$D184)*('!!'!X184/('!!'!$G184)),0)</f>
        <v>0</v>
      </c>
      <c r="GO184" s="438">
        <f>IFERROR(('!!'!$D184)*('!!'!Y184/('!!'!$G184)),0)</f>
        <v>0</v>
      </c>
      <c r="GP184" s="438">
        <f>IFERROR(('!!'!$D184)*('!!'!Z183/('!!'!$G184)),0)</f>
        <v>0</v>
      </c>
      <c r="GQ184" s="438">
        <f>IFERROR(('!!'!$D184)*('!!'!Q184/('!!'!$G184)),0)</f>
        <v>0</v>
      </c>
      <c r="GR184" s="429">
        <v>1</v>
      </c>
      <c r="GS184" s="429">
        <v>2</v>
      </c>
      <c r="GT184" s="432">
        <f>Monitoring!C184</f>
        <v>0</v>
      </c>
      <c r="GU184" s="432">
        <f>Reference!$C184</f>
        <v>0</v>
      </c>
      <c r="GV184" s="429">
        <f>Reference!$D184</f>
        <v>0</v>
      </c>
      <c r="GW184" s="440">
        <f t="shared" si="47"/>
        <v>0</v>
      </c>
      <c r="GX184" s="440">
        <f t="shared" si="47"/>
        <v>0</v>
      </c>
      <c r="GY184" s="440">
        <f t="shared" si="47"/>
        <v>0</v>
      </c>
      <c r="GZ184" s="440">
        <f t="shared" si="47"/>
        <v>0</v>
      </c>
      <c r="HA184" s="440"/>
      <c r="HB184" s="440"/>
      <c r="HC184" s="440"/>
      <c r="HD184" s="440"/>
      <c r="HE184" s="429">
        <f t="shared" si="41"/>
        <v>160</v>
      </c>
      <c r="HF184" s="429">
        <f>SUM(GW184*Baseline!$P$24,GX184*Baseline!$P$25,GY184*Baseline!$P$26,GZ184*Baseline!$P$27,HA184*Baseline!$P$28,HB184*Baseline!$P$29,HC184*Baseline!$P$30,HD184*Baseline!$P$31,Baseline!$P$23)</f>
        <v>626.18362874044828</v>
      </c>
      <c r="HG184" s="455" t="e">
        <f t="shared" si="42"/>
        <v>#DIV/0!</v>
      </c>
      <c r="HH184" s="429" t="e">
        <f>IF(HG184&lt;=Baseline!$J$13,1,0)</f>
        <v>#DIV/0!</v>
      </c>
      <c r="HI184" s="429">
        <f t="shared" si="43"/>
        <v>392105.93690255558</v>
      </c>
      <c r="HJ184" s="429">
        <f t="shared" si="38"/>
        <v>48910903.069173105</v>
      </c>
      <c r="HK184" s="429">
        <f t="shared" si="39"/>
        <v>58061606.033611111</v>
      </c>
      <c r="HL184" s="429" t="str">
        <f>IF(HM184=Reference!$I$12,(HF184-GV184),"")</f>
        <v/>
      </c>
      <c r="HM184" s="429" t="str">
        <f>Reference!I184</f>
        <v/>
      </c>
      <c r="HN184" s="429" t="str">
        <f t="shared" si="44"/>
        <v/>
      </c>
    </row>
    <row r="185" spans="189:222" ht="17.25" customHeight="1" x14ac:dyDescent="0.35">
      <c r="GG185" s="432"/>
      <c r="GJ185" s="429" t="str">
        <f>IF(GK185=$GJ$15,$GJ$15,IF(GJ$24=HF$4,SUM(GK$25:GK185),SUM(GL$25:GL185)))</f>
        <v>N</v>
      </c>
      <c r="GK185" s="438" t="str">
        <f>IFERROR('!!'!G185-'!!'!D185,$GJ$15)</f>
        <v>N</v>
      </c>
      <c r="GL185" s="429" t="str">
        <f t="shared" si="40"/>
        <v>N</v>
      </c>
      <c r="GM185" s="438">
        <f>IFERROR(('!!'!$D185)*('!!'!W185/('!!'!$G185)),0)</f>
        <v>0</v>
      </c>
      <c r="GN185" s="438">
        <f>IFERROR(('!!'!$D185)*('!!'!X185/('!!'!$G185)),0)</f>
        <v>0</v>
      </c>
      <c r="GO185" s="438">
        <f>IFERROR(('!!'!$D185)*('!!'!Y185/('!!'!$G185)),0)</f>
        <v>0</v>
      </c>
      <c r="GP185" s="438">
        <f>IFERROR(('!!'!$D185)*('!!'!Z184/('!!'!$G185)),0)</f>
        <v>0</v>
      </c>
      <c r="GQ185" s="438">
        <f>IFERROR(('!!'!$D185)*('!!'!Q185/('!!'!$G185)),0)</f>
        <v>0</v>
      </c>
      <c r="GR185" s="429">
        <v>1</v>
      </c>
      <c r="GS185" s="429">
        <v>2</v>
      </c>
      <c r="GT185" s="432">
        <f>Monitoring!C185</f>
        <v>0</v>
      </c>
      <c r="GU185" s="432">
        <f>Reference!$C185</f>
        <v>0</v>
      </c>
      <c r="GV185" s="429">
        <f>Reference!$D185</f>
        <v>0</v>
      </c>
      <c r="GW185" s="440">
        <f t="shared" ref="GW185:GZ194" si="48">IFERROR(VLOOKUP($GU185,Daten.B,GW$22,FALSE)^GW$23,0)</f>
        <v>0</v>
      </c>
      <c r="GX185" s="440">
        <f t="shared" si="48"/>
        <v>0</v>
      </c>
      <c r="GY185" s="440">
        <f t="shared" si="48"/>
        <v>0</v>
      </c>
      <c r="GZ185" s="440">
        <f t="shared" si="48"/>
        <v>0</v>
      </c>
      <c r="HA185" s="440"/>
      <c r="HB185" s="440"/>
      <c r="HC185" s="440"/>
      <c r="HD185" s="440"/>
      <c r="HE185" s="429">
        <f t="shared" si="41"/>
        <v>161</v>
      </c>
      <c r="HF185" s="429">
        <f>SUM(GW185*Baseline!$P$24,GX185*Baseline!$P$25,GY185*Baseline!$P$26,GZ185*Baseline!$P$27,HA185*Baseline!$P$28,HB185*Baseline!$P$29,HC185*Baseline!$P$30,HD185*Baseline!$P$31,Baseline!$P$23)</f>
        <v>626.18362874044828</v>
      </c>
      <c r="HG185" s="455" t="e">
        <f t="shared" si="42"/>
        <v>#DIV/0!</v>
      </c>
      <c r="HH185" s="429" t="e">
        <f>IF(HG185&lt;=Baseline!$J$13,1,0)</f>
        <v>#DIV/0!</v>
      </c>
      <c r="HI185" s="429">
        <f t="shared" si="43"/>
        <v>392105.93690255558</v>
      </c>
      <c r="HJ185" s="429">
        <f t="shared" si="38"/>
        <v>48910903.069173105</v>
      </c>
      <c r="HK185" s="429">
        <f t="shared" si="39"/>
        <v>58061606.033611111</v>
      </c>
      <c r="HL185" s="429" t="str">
        <f>IF(HM185=Reference!$I$12,(HF185-GV185),"")</f>
        <v/>
      </c>
      <c r="HM185" s="429" t="str">
        <f>Reference!I185</f>
        <v/>
      </c>
      <c r="HN185" s="429" t="str">
        <f t="shared" si="44"/>
        <v/>
      </c>
    </row>
    <row r="186" spans="189:222" ht="17.25" customHeight="1" x14ac:dyDescent="0.35">
      <c r="GG186" s="432"/>
      <c r="GJ186" s="429" t="str">
        <f>IF(GK186=$GJ$15,$GJ$15,IF(GJ$24=HF$4,SUM(GK$25:GK186),SUM(GL$25:GL186)))</f>
        <v>N</v>
      </c>
      <c r="GK186" s="438" t="str">
        <f>IFERROR('!!'!G186-'!!'!D186,$GJ$15)</f>
        <v>N</v>
      </c>
      <c r="GL186" s="429" t="str">
        <f t="shared" si="40"/>
        <v>N</v>
      </c>
      <c r="GM186" s="438">
        <f>IFERROR(('!!'!$D186)*('!!'!W186/('!!'!$G186)),0)</f>
        <v>0</v>
      </c>
      <c r="GN186" s="438">
        <f>IFERROR(('!!'!$D186)*('!!'!X186/('!!'!$G186)),0)</f>
        <v>0</v>
      </c>
      <c r="GO186" s="438">
        <f>IFERROR(('!!'!$D186)*('!!'!Y186/('!!'!$G186)),0)</f>
        <v>0</v>
      </c>
      <c r="GP186" s="438">
        <f>IFERROR(('!!'!$D186)*('!!'!Z185/('!!'!$G186)),0)</f>
        <v>0</v>
      </c>
      <c r="GQ186" s="438">
        <f>IFERROR(('!!'!$D186)*('!!'!Q186/('!!'!$G186)),0)</f>
        <v>0</v>
      </c>
      <c r="GR186" s="429">
        <v>1</v>
      </c>
      <c r="GS186" s="429">
        <v>2</v>
      </c>
      <c r="GT186" s="432">
        <f>Monitoring!C186</f>
        <v>0</v>
      </c>
      <c r="GU186" s="432">
        <f>Reference!$C186</f>
        <v>0</v>
      </c>
      <c r="GV186" s="429">
        <f>Reference!$D186</f>
        <v>0</v>
      </c>
      <c r="GW186" s="440">
        <f t="shared" si="48"/>
        <v>0</v>
      </c>
      <c r="GX186" s="440">
        <f t="shared" si="48"/>
        <v>0</v>
      </c>
      <c r="GY186" s="440">
        <f t="shared" si="48"/>
        <v>0</v>
      </c>
      <c r="GZ186" s="440">
        <f t="shared" si="48"/>
        <v>0</v>
      </c>
      <c r="HA186" s="440"/>
      <c r="HB186" s="440"/>
      <c r="HC186" s="440"/>
      <c r="HD186" s="440"/>
      <c r="HE186" s="429">
        <f t="shared" si="41"/>
        <v>162</v>
      </c>
      <c r="HF186" s="429">
        <f>SUM(GW186*Baseline!$P$24,GX186*Baseline!$P$25,GY186*Baseline!$P$26,GZ186*Baseline!$P$27,HA186*Baseline!$P$28,HB186*Baseline!$P$29,HC186*Baseline!$P$30,HD186*Baseline!$P$31,Baseline!$P$23)</f>
        <v>626.18362874044828</v>
      </c>
      <c r="HG186" s="455" t="e">
        <f t="shared" si="42"/>
        <v>#DIV/0!</v>
      </c>
      <c r="HH186" s="429" t="e">
        <f>IF(HG186&lt;=Baseline!$J$13,1,0)</f>
        <v>#DIV/0!</v>
      </c>
      <c r="HI186" s="429">
        <f t="shared" si="43"/>
        <v>392105.93690255558</v>
      </c>
      <c r="HJ186" s="429">
        <f t="shared" si="38"/>
        <v>48910903.069173105</v>
      </c>
      <c r="HK186" s="429">
        <f t="shared" si="39"/>
        <v>58061606.033611111</v>
      </c>
      <c r="HL186" s="429" t="str">
        <f>IF(HM186=Reference!$I$12,(HF186-GV186),"")</f>
        <v/>
      </c>
      <c r="HM186" s="429" t="str">
        <f>Reference!I186</f>
        <v/>
      </c>
      <c r="HN186" s="429" t="str">
        <f t="shared" si="44"/>
        <v/>
      </c>
    </row>
    <row r="187" spans="189:222" ht="17.25" customHeight="1" x14ac:dyDescent="0.35">
      <c r="GG187" s="432"/>
      <c r="GJ187" s="429" t="str">
        <f>IF(GK187=$GJ$15,$GJ$15,IF(GJ$24=HF$4,SUM(GK$25:GK187),SUM(GL$25:GL187)))</f>
        <v>N</v>
      </c>
      <c r="GK187" s="438" t="str">
        <f>IFERROR('!!'!G187-'!!'!D187,$GJ$15)</f>
        <v>N</v>
      </c>
      <c r="GL187" s="429" t="str">
        <f t="shared" si="40"/>
        <v>N</v>
      </c>
      <c r="GM187" s="438">
        <f>IFERROR(('!!'!$D187)*('!!'!W187/('!!'!$G187)),0)</f>
        <v>0</v>
      </c>
      <c r="GN187" s="438">
        <f>IFERROR(('!!'!$D187)*('!!'!X187/('!!'!$G187)),0)</f>
        <v>0</v>
      </c>
      <c r="GO187" s="438">
        <f>IFERROR(('!!'!$D187)*('!!'!Y187/('!!'!$G187)),0)</f>
        <v>0</v>
      </c>
      <c r="GP187" s="438">
        <f>IFERROR(('!!'!$D187)*('!!'!Z186/('!!'!$G187)),0)</f>
        <v>0</v>
      </c>
      <c r="GQ187" s="438">
        <f>IFERROR(('!!'!$D187)*('!!'!Q187/('!!'!$G187)),0)</f>
        <v>0</v>
      </c>
      <c r="GR187" s="429">
        <v>1</v>
      </c>
      <c r="GS187" s="429">
        <v>2</v>
      </c>
      <c r="GT187" s="432">
        <f>Monitoring!C187</f>
        <v>0</v>
      </c>
      <c r="GU187" s="432">
        <f>Reference!$C187</f>
        <v>0</v>
      </c>
      <c r="GV187" s="429">
        <f>Reference!$D187</f>
        <v>0</v>
      </c>
      <c r="GW187" s="440">
        <f t="shared" si="48"/>
        <v>0</v>
      </c>
      <c r="GX187" s="440">
        <f t="shared" si="48"/>
        <v>0</v>
      </c>
      <c r="GY187" s="440">
        <f t="shared" si="48"/>
        <v>0</v>
      </c>
      <c r="GZ187" s="440">
        <f t="shared" si="48"/>
        <v>0</v>
      </c>
      <c r="HA187" s="440"/>
      <c r="HB187" s="440"/>
      <c r="HC187" s="440"/>
      <c r="HD187" s="440"/>
      <c r="HE187" s="429">
        <f t="shared" si="41"/>
        <v>163</v>
      </c>
      <c r="HF187" s="429">
        <f>SUM(GW187*Baseline!$P$24,GX187*Baseline!$P$25,GY187*Baseline!$P$26,GZ187*Baseline!$P$27,HA187*Baseline!$P$28,HB187*Baseline!$P$29,HC187*Baseline!$P$30,HD187*Baseline!$P$31,Baseline!$P$23)</f>
        <v>626.18362874044828</v>
      </c>
      <c r="HG187" s="455" t="e">
        <f t="shared" si="42"/>
        <v>#DIV/0!</v>
      </c>
      <c r="HH187" s="429" t="e">
        <f>IF(HG187&lt;=Baseline!$J$13,1,0)</f>
        <v>#DIV/0!</v>
      </c>
      <c r="HI187" s="429">
        <f t="shared" si="43"/>
        <v>392105.93690255558</v>
      </c>
      <c r="HJ187" s="429">
        <f t="shared" si="38"/>
        <v>48910903.069173105</v>
      </c>
      <c r="HK187" s="429">
        <f t="shared" si="39"/>
        <v>58061606.033611111</v>
      </c>
      <c r="HL187" s="429" t="str">
        <f>IF(HM187=Reference!$I$12,(HF187-GV187),"")</f>
        <v/>
      </c>
      <c r="HM187" s="429" t="str">
        <f>Reference!I187</f>
        <v/>
      </c>
      <c r="HN187" s="429" t="str">
        <f t="shared" si="44"/>
        <v/>
      </c>
    </row>
    <row r="188" spans="189:222" ht="17.25" customHeight="1" x14ac:dyDescent="0.35">
      <c r="GG188" s="432"/>
      <c r="GJ188" s="429" t="str">
        <f>IF(GK188=$GJ$15,$GJ$15,IF(GJ$24=HF$4,SUM(GK$25:GK188),SUM(GL$25:GL188)))</f>
        <v>N</v>
      </c>
      <c r="GK188" s="438" t="str">
        <f>IFERROR('!!'!G188-'!!'!D188,$GJ$15)</f>
        <v>N</v>
      </c>
      <c r="GL188" s="429" t="str">
        <f t="shared" si="40"/>
        <v>N</v>
      </c>
      <c r="GM188" s="438">
        <f>IFERROR(('!!'!$D188)*('!!'!W188/('!!'!$G188)),0)</f>
        <v>0</v>
      </c>
      <c r="GN188" s="438">
        <f>IFERROR(('!!'!$D188)*('!!'!X188/('!!'!$G188)),0)</f>
        <v>0</v>
      </c>
      <c r="GO188" s="438">
        <f>IFERROR(('!!'!$D188)*('!!'!Y188/('!!'!$G188)),0)</f>
        <v>0</v>
      </c>
      <c r="GP188" s="438">
        <f>IFERROR(('!!'!$D188)*('!!'!Z187/('!!'!$G188)),0)</f>
        <v>0</v>
      </c>
      <c r="GQ188" s="438">
        <f>IFERROR(('!!'!$D188)*('!!'!Q188/('!!'!$G188)),0)</f>
        <v>0</v>
      </c>
      <c r="GR188" s="429">
        <v>1</v>
      </c>
      <c r="GS188" s="429">
        <v>2</v>
      </c>
      <c r="GT188" s="432">
        <f>Monitoring!C188</f>
        <v>0</v>
      </c>
      <c r="GU188" s="432">
        <f>Reference!$C188</f>
        <v>0</v>
      </c>
      <c r="GV188" s="429">
        <f>Reference!$D188</f>
        <v>0</v>
      </c>
      <c r="GW188" s="440">
        <f t="shared" si="48"/>
        <v>0</v>
      </c>
      <c r="GX188" s="440">
        <f t="shared" si="48"/>
        <v>0</v>
      </c>
      <c r="GY188" s="440">
        <f t="shared" si="48"/>
        <v>0</v>
      </c>
      <c r="GZ188" s="440">
        <f t="shared" si="48"/>
        <v>0</v>
      </c>
      <c r="HA188" s="440"/>
      <c r="HB188" s="440"/>
      <c r="HC188" s="440"/>
      <c r="HD188" s="440"/>
      <c r="HE188" s="429">
        <f t="shared" si="41"/>
        <v>164</v>
      </c>
      <c r="HF188" s="429">
        <f>SUM(GW188*Baseline!$P$24,GX188*Baseline!$P$25,GY188*Baseline!$P$26,GZ188*Baseline!$P$27,HA188*Baseline!$P$28,HB188*Baseline!$P$29,HC188*Baseline!$P$30,HD188*Baseline!$P$31,Baseline!$P$23)</f>
        <v>626.18362874044828</v>
      </c>
      <c r="HG188" s="455" t="e">
        <f t="shared" si="42"/>
        <v>#DIV/0!</v>
      </c>
      <c r="HH188" s="429" t="e">
        <f>IF(HG188&lt;=Baseline!$J$13,1,0)</f>
        <v>#DIV/0!</v>
      </c>
      <c r="HI188" s="429">
        <f t="shared" si="43"/>
        <v>392105.93690255558</v>
      </c>
      <c r="HJ188" s="429">
        <f t="shared" si="38"/>
        <v>48910903.069173105</v>
      </c>
      <c r="HK188" s="429">
        <f t="shared" si="39"/>
        <v>58061606.033611111</v>
      </c>
      <c r="HL188" s="429" t="str">
        <f>IF(HM188=Reference!$I$12,(HF188-GV188),"")</f>
        <v/>
      </c>
      <c r="HM188" s="429" t="str">
        <f>Reference!I188</f>
        <v/>
      </c>
      <c r="HN188" s="429" t="str">
        <f t="shared" si="44"/>
        <v/>
      </c>
    </row>
    <row r="189" spans="189:222" ht="17.25" customHeight="1" x14ac:dyDescent="0.35">
      <c r="GG189" s="432"/>
      <c r="GJ189" s="429" t="str">
        <f>IF(GK189=$GJ$15,$GJ$15,IF(GJ$24=HF$4,SUM(GK$25:GK189),SUM(GL$25:GL189)))</f>
        <v>N</v>
      </c>
      <c r="GK189" s="438" t="str">
        <f>IFERROR('!!'!G189-'!!'!D189,$GJ$15)</f>
        <v>N</v>
      </c>
      <c r="GL189" s="429" t="str">
        <f t="shared" si="40"/>
        <v>N</v>
      </c>
      <c r="GM189" s="438">
        <f>IFERROR(('!!'!$D189)*('!!'!W189/('!!'!$G189)),0)</f>
        <v>0</v>
      </c>
      <c r="GN189" s="438">
        <f>IFERROR(('!!'!$D189)*('!!'!X189/('!!'!$G189)),0)</f>
        <v>0</v>
      </c>
      <c r="GO189" s="438">
        <f>IFERROR(('!!'!$D189)*('!!'!Y189/('!!'!$G189)),0)</f>
        <v>0</v>
      </c>
      <c r="GP189" s="438">
        <f>IFERROR(('!!'!$D189)*('!!'!Z188/('!!'!$G189)),0)</f>
        <v>0</v>
      </c>
      <c r="GQ189" s="438">
        <f>IFERROR(('!!'!$D189)*('!!'!Q189/('!!'!$G189)),0)</f>
        <v>0</v>
      </c>
      <c r="GR189" s="429">
        <v>1</v>
      </c>
      <c r="GS189" s="429">
        <v>2</v>
      </c>
      <c r="GT189" s="432">
        <f>Monitoring!C189</f>
        <v>0</v>
      </c>
      <c r="GU189" s="432">
        <f>Reference!$C189</f>
        <v>0</v>
      </c>
      <c r="GV189" s="429">
        <f>Reference!$D189</f>
        <v>0</v>
      </c>
      <c r="GW189" s="440">
        <f t="shared" si="48"/>
        <v>0</v>
      </c>
      <c r="GX189" s="440">
        <f t="shared" si="48"/>
        <v>0</v>
      </c>
      <c r="GY189" s="440">
        <f t="shared" si="48"/>
        <v>0</v>
      </c>
      <c r="GZ189" s="440">
        <f t="shared" si="48"/>
        <v>0</v>
      </c>
      <c r="HA189" s="440"/>
      <c r="HB189" s="440"/>
      <c r="HC189" s="440"/>
      <c r="HD189" s="440"/>
      <c r="HE189" s="429">
        <f t="shared" si="41"/>
        <v>165</v>
      </c>
      <c r="HF189" s="429">
        <f>SUM(GW189*Baseline!$P$24,GX189*Baseline!$P$25,GY189*Baseline!$P$26,GZ189*Baseline!$P$27,HA189*Baseline!$P$28,HB189*Baseline!$P$29,HC189*Baseline!$P$30,HD189*Baseline!$P$31,Baseline!$P$23)</f>
        <v>626.18362874044828</v>
      </c>
      <c r="HG189" s="455" t="e">
        <f t="shared" si="42"/>
        <v>#DIV/0!</v>
      </c>
      <c r="HH189" s="429" t="e">
        <f>IF(HG189&lt;=Baseline!$J$13,1,0)</f>
        <v>#DIV/0!</v>
      </c>
      <c r="HI189" s="429">
        <f t="shared" si="43"/>
        <v>392105.93690255558</v>
      </c>
      <c r="HJ189" s="429">
        <f t="shared" si="38"/>
        <v>48910903.069173105</v>
      </c>
      <c r="HK189" s="429">
        <f t="shared" si="39"/>
        <v>58061606.033611111</v>
      </c>
      <c r="HL189" s="429" t="str">
        <f>IF(HM189=Reference!$I$12,(HF189-GV189),"")</f>
        <v/>
      </c>
      <c r="HM189" s="429" t="str">
        <f>Reference!I189</f>
        <v/>
      </c>
      <c r="HN189" s="429" t="str">
        <f t="shared" si="44"/>
        <v/>
      </c>
    </row>
    <row r="190" spans="189:222" ht="17.25" customHeight="1" x14ac:dyDescent="0.35">
      <c r="GG190" s="432"/>
      <c r="GJ190" s="429" t="str">
        <f>IF(GK190=$GJ$15,$GJ$15,IF(GJ$24=HF$4,SUM(GK$25:GK190),SUM(GL$25:GL190)))</f>
        <v>N</v>
      </c>
      <c r="GK190" s="438" t="str">
        <f>IFERROR('!!'!G190-'!!'!D190,$GJ$15)</f>
        <v>N</v>
      </c>
      <c r="GL190" s="429" t="str">
        <f t="shared" si="40"/>
        <v>N</v>
      </c>
      <c r="GM190" s="438">
        <f>IFERROR(('!!'!$D190)*('!!'!W190/('!!'!$G190)),0)</f>
        <v>0</v>
      </c>
      <c r="GN190" s="438">
        <f>IFERROR(('!!'!$D190)*('!!'!X190/('!!'!$G190)),0)</f>
        <v>0</v>
      </c>
      <c r="GO190" s="438">
        <f>IFERROR(('!!'!$D190)*('!!'!Y190/('!!'!$G190)),0)</f>
        <v>0</v>
      </c>
      <c r="GP190" s="438">
        <f>IFERROR(('!!'!$D190)*('!!'!Z189/('!!'!$G190)),0)</f>
        <v>0</v>
      </c>
      <c r="GQ190" s="438">
        <f>IFERROR(('!!'!$D190)*('!!'!Q190/('!!'!$G190)),0)</f>
        <v>0</v>
      </c>
      <c r="GR190" s="429">
        <v>1</v>
      </c>
      <c r="GS190" s="429">
        <v>2</v>
      </c>
      <c r="GT190" s="432">
        <f>Monitoring!C190</f>
        <v>0</v>
      </c>
      <c r="GU190" s="432">
        <f>Reference!$C190</f>
        <v>0</v>
      </c>
      <c r="GV190" s="429">
        <f>Reference!$D190</f>
        <v>0</v>
      </c>
      <c r="GW190" s="440">
        <f t="shared" si="48"/>
        <v>0</v>
      </c>
      <c r="GX190" s="440">
        <f t="shared" si="48"/>
        <v>0</v>
      </c>
      <c r="GY190" s="440">
        <f t="shared" si="48"/>
        <v>0</v>
      </c>
      <c r="GZ190" s="440">
        <f t="shared" si="48"/>
        <v>0</v>
      </c>
      <c r="HA190" s="440"/>
      <c r="HB190" s="440"/>
      <c r="HC190" s="440"/>
      <c r="HD190" s="440"/>
      <c r="HE190" s="429">
        <f t="shared" si="41"/>
        <v>166</v>
      </c>
      <c r="HF190" s="429">
        <f>SUM(GW190*Baseline!$P$24,GX190*Baseline!$P$25,GY190*Baseline!$P$26,GZ190*Baseline!$P$27,HA190*Baseline!$P$28,HB190*Baseline!$P$29,HC190*Baseline!$P$30,HD190*Baseline!$P$31,Baseline!$P$23)</f>
        <v>626.18362874044828</v>
      </c>
      <c r="HG190" s="455" t="e">
        <f t="shared" si="42"/>
        <v>#DIV/0!</v>
      </c>
      <c r="HH190" s="429" t="e">
        <f>IF(HG190&lt;=Baseline!$J$13,1,0)</f>
        <v>#DIV/0!</v>
      </c>
      <c r="HI190" s="429">
        <f t="shared" si="43"/>
        <v>392105.93690255558</v>
      </c>
      <c r="HJ190" s="429">
        <f t="shared" si="38"/>
        <v>48910903.069173105</v>
      </c>
      <c r="HK190" s="429">
        <f t="shared" si="39"/>
        <v>58061606.033611111</v>
      </c>
      <c r="HL190" s="429" t="str">
        <f>IF(HM190=Reference!$I$12,(HF190-GV190),"")</f>
        <v/>
      </c>
      <c r="HM190" s="429" t="str">
        <f>Reference!I190</f>
        <v/>
      </c>
      <c r="HN190" s="429" t="str">
        <f t="shared" si="44"/>
        <v/>
      </c>
    </row>
    <row r="191" spans="189:222" ht="17.25" customHeight="1" x14ac:dyDescent="0.35">
      <c r="GG191" s="432"/>
      <c r="GJ191" s="429" t="str">
        <f>IF(GK191=$GJ$15,$GJ$15,IF(GJ$24=HF$4,SUM(GK$25:GK191),SUM(GL$25:GL191)))</f>
        <v>N</v>
      </c>
      <c r="GK191" s="438" t="str">
        <f>IFERROR('!!'!G191-'!!'!D191,$GJ$15)</f>
        <v>N</v>
      </c>
      <c r="GL191" s="429" t="str">
        <f t="shared" si="40"/>
        <v>N</v>
      </c>
      <c r="GM191" s="438">
        <f>IFERROR(('!!'!$D191)*('!!'!W191/('!!'!$G191)),0)</f>
        <v>0</v>
      </c>
      <c r="GN191" s="438">
        <f>IFERROR(('!!'!$D191)*('!!'!X191/('!!'!$G191)),0)</f>
        <v>0</v>
      </c>
      <c r="GO191" s="438">
        <f>IFERROR(('!!'!$D191)*('!!'!Y191/('!!'!$G191)),0)</f>
        <v>0</v>
      </c>
      <c r="GP191" s="438">
        <f>IFERROR(('!!'!$D191)*('!!'!Z190/('!!'!$G191)),0)</f>
        <v>0</v>
      </c>
      <c r="GQ191" s="438">
        <f>IFERROR(('!!'!$D191)*('!!'!Q191/('!!'!$G191)),0)</f>
        <v>0</v>
      </c>
      <c r="GR191" s="429">
        <v>1</v>
      </c>
      <c r="GS191" s="429">
        <v>2</v>
      </c>
      <c r="GT191" s="432">
        <f>Monitoring!C191</f>
        <v>0</v>
      </c>
      <c r="GU191" s="432">
        <f>Reference!$C191</f>
        <v>0</v>
      </c>
      <c r="GV191" s="429">
        <f>Reference!$D191</f>
        <v>0</v>
      </c>
      <c r="GW191" s="440">
        <f t="shared" si="48"/>
        <v>0</v>
      </c>
      <c r="GX191" s="440">
        <f t="shared" si="48"/>
        <v>0</v>
      </c>
      <c r="GY191" s="440">
        <f t="shared" si="48"/>
        <v>0</v>
      </c>
      <c r="GZ191" s="440">
        <f t="shared" si="48"/>
        <v>0</v>
      </c>
      <c r="HA191" s="440"/>
      <c r="HB191" s="440"/>
      <c r="HC191" s="440"/>
      <c r="HD191" s="440"/>
      <c r="HE191" s="429">
        <f t="shared" si="41"/>
        <v>167</v>
      </c>
      <c r="HF191" s="429">
        <f>SUM(GW191*Baseline!$P$24,GX191*Baseline!$P$25,GY191*Baseline!$P$26,GZ191*Baseline!$P$27,HA191*Baseline!$P$28,HB191*Baseline!$P$29,HC191*Baseline!$P$30,HD191*Baseline!$P$31,Baseline!$P$23)</f>
        <v>626.18362874044828</v>
      </c>
      <c r="HG191" s="455" t="e">
        <f t="shared" si="42"/>
        <v>#DIV/0!</v>
      </c>
      <c r="HH191" s="429" t="e">
        <f>IF(HG191&lt;=Baseline!$J$13,1,0)</f>
        <v>#DIV/0!</v>
      </c>
      <c r="HI191" s="429">
        <f t="shared" si="43"/>
        <v>392105.93690255558</v>
      </c>
      <c r="HJ191" s="429">
        <f t="shared" si="38"/>
        <v>48910903.069173105</v>
      </c>
      <c r="HK191" s="429">
        <f t="shared" si="39"/>
        <v>58061606.033611111</v>
      </c>
      <c r="HL191" s="429" t="str">
        <f>IF(HM191=Reference!$I$12,(HF191-GV191),"")</f>
        <v/>
      </c>
      <c r="HM191" s="429" t="str">
        <f>Reference!I191</f>
        <v/>
      </c>
      <c r="HN191" s="429" t="str">
        <f t="shared" si="44"/>
        <v/>
      </c>
    </row>
    <row r="192" spans="189:222" ht="17.25" customHeight="1" x14ac:dyDescent="0.35">
      <c r="GG192" s="432"/>
      <c r="GJ192" s="429" t="str">
        <f>IF(GK192=$GJ$15,$GJ$15,IF(GJ$24=HF$4,SUM(GK$25:GK192),SUM(GL$25:GL192)))</f>
        <v>N</v>
      </c>
      <c r="GK192" s="438" t="str">
        <f>IFERROR('!!'!G192-'!!'!D192,$GJ$15)</f>
        <v>N</v>
      </c>
      <c r="GL192" s="429" t="str">
        <f t="shared" si="40"/>
        <v>N</v>
      </c>
      <c r="GM192" s="438">
        <f>IFERROR(('!!'!$D192)*('!!'!W192/('!!'!$G192)),0)</f>
        <v>0</v>
      </c>
      <c r="GN192" s="438">
        <f>IFERROR(('!!'!$D192)*('!!'!X192/('!!'!$G192)),0)</f>
        <v>0</v>
      </c>
      <c r="GO192" s="438">
        <f>IFERROR(('!!'!$D192)*('!!'!Y192/('!!'!$G192)),0)</f>
        <v>0</v>
      </c>
      <c r="GP192" s="438">
        <f>IFERROR(('!!'!$D192)*('!!'!Z191/('!!'!$G192)),0)</f>
        <v>0</v>
      </c>
      <c r="GQ192" s="438">
        <f>IFERROR(('!!'!$D192)*('!!'!Q192/('!!'!$G192)),0)</f>
        <v>0</v>
      </c>
      <c r="GR192" s="429">
        <v>1</v>
      </c>
      <c r="GS192" s="429">
        <v>2</v>
      </c>
      <c r="GT192" s="432">
        <f>Monitoring!C192</f>
        <v>0</v>
      </c>
      <c r="GU192" s="432">
        <f>Reference!$C192</f>
        <v>0</v>
      </c>
      <c r="GV192" s="429">
        <f>Reference!$D192</f>
        <v>0</v>
      </c>
      <c r="GW192" s="440">
        <f t="shared" si="48"/>
        <v>0</v>
      </c>
      <c r="GX192" s="440">
        <f t="shared" si="48"/>
        <v>0</v>
      </c>
      <c r="GY192" s="440">
        <f t="shared" si="48"/>
        <v>0</v>
      </c>
      <c r="GZ192" s="440">
        <f t="shared" si="48"/>
        <v>0</v>
      </c>
      <c r="HA192" s="440"/>
      <c r="HB192" s="440"/>
      <c r="HC192" s="440"/>
      <c r="HD192" s="440"/>
      <c r="HE192" s="429">
        <f t="shared" si="41"/>
        <v>168</v>
      </c>
      <c r="HF192" s="429">
        <f>SUM(GW192*Baseline!$P$24,GX192*Baseline!$P$25,GY192*Baseline!$P$26,GZ192*Baseline!$P$27,HA192*Baseline!$P$28,HB192*Baseline!$P$29,HC192*Baseline!$P$30,HD192*Baseline!$P$31,Baseline!$P$23)</f>
        <v>626.18362874044828</v>
      </c>
      <c r="HG192" s="455" t="e">
        <f t="shared" si="42"/>
        <v>#DIV/0!</v>
      </c>
      <c r="HH192" s="429" t="e">
        <f>IF(HG192&lt;=Baseline!$J$13,1,0)</f>
        <v>#DIV/0!</v>
      </c>
      <c r="HI192" s="429">
        <f t="shared" si="43"/>
        <v>392105.93690255558</v>
      </c>
      <c r="HJ192" s="429">
        <f t="shared" si="38"/>
        <v>48910903.069173105</v>
      </c>
      <c r="HK192" s="429">
        <f t="shared" si="39"/>
        <v>58061606.033611111</v>
      </c>
      <c r="HL192" s="429" t="str">
        <f>IF(HM192=Reference!$I$12,(HF192-GV192),"")</f>
        <v/>
      </c>
      <c r="HM192" s="429" t="str">
        <f>Reference!I192</f>
        <v/>
      </c>
      <c r="HN192" s="429" t="str">
        <f t="shared" si="44"/>
        <v/>
      </c>
    </row>
    <row r="193" spans="189:222" ht="17.25" customHeight="1" x14ac:dyDescent="0.35">
      <c r="GG193" s="432"/>
      <c r="GJ193" s="429" t="str">
        <f>IF(GK193=$GJ$15,$GJ$15,IF(GJ$24=HF$4,SUM(GK$25:GK193),SUM(GL$25:GL193)))</f>
        <v>N</v>
      </c>
      <c r="GK193" s="438" t="str">
        <f>IFERROR('!!'!G193-'!!'!D193,$GJ$15)</f>
        <v>N</v>
      </c>
      <c r="GL193" s="429" t="str">
        <f t="shared" si="40"/>
        <v>N</v>
      </c>
      <c r="GM193" s="438">
        <f>IFERROR(('!!'!$D193)*('!!'!W193/('!!'!$G193)),0)</f>
        <v>0</v>
      </c>
      <c r="GN193" s="438">
        <f>IFERROR(('!!'!$D193)*('!!'!X193/('!!'!$G193)),0)</f>
        <v>0</v>
      </c>
      <c r="GO193" s="438">
        <f>IFERROR(('!!'!$D193)*('!!'!Y193/('!!'!$G193)),0)</f>
        <v>0</v>
      </c>
      <c r="GP193" s="438">
        <f>IFERROR(('!!'!$D193)*('!!'!Z192/('!!'!$G193)),0)</f>
        <v>0</v>
      </c>
      <c r="GQ193" s="438">
        <f>IFERROR(('!!'!$D193)*('!!'!Q193/('!!'!$G193)),0)</f>
        <v>0</v>
      </c>
      <c r="GR193" s="429">
        <v>1</v>
      </c>
      <c r="GS193" s="429">
        <v>2</v>
      </c>
      <c r="GT193" s="432">
        <f>Monitoring!C193</f>
        <v>0</v>
      </c>
      <c r="GU193" s="432">
        <f>Reference!$C193</f>
        <v>0</v>
      </c>
      <c r="GV193" s="429">
        <f>Reference!$D193</f>
        <v>0</v>
      </c>
      <c r="GW193" s="440">
        <f t="shared" si="48"/>
        <v>0</v>
      </c>
      <c r="GX193" s="440">
        <f t="shared" si="48"/>
        <v>0</v>
      </c>
      <c r="GY193" s="440">
        <f t="shared" si="48"/>
        <v>0</v>
      </c>
      <c r="GZ193" s="440">
        <f t="shared" si="48"/>
        <v>0</v>
      </c>
      <c r="HA193" s="440"/>
      <c r="HB193" s="440"/>
      <c r="HC193" s="440"/>
      <c r="HD193" s="440"/>
      <c r="HE193" s="429">
        <f t="shared" si="41"/>
        <v>169</v>
      </c>
      <c r="HF193" s="429">
        <f>SUM(GW193*Baseline!$P$24,GX193*Baseline!$P$25,GY193*Baseline!$P$26,GZ193*Baseline!$P$27,HA193*Baseline!$P$28,HB193*Baseline!$P$29,HC193*Baseline!$P$30,HD193*Baseline!$P$31,Baseline!$P$23)</f>
        <v>626.18362874044828</v>
      </c>
      <c r="HG193" s="455" t="e">
        <f t="shared" si="42"/>
        <v>#DIV/0!</v>
      </c>
      <c r="HH193" s="429" t="e">
        <f>IF(HG193&lt;=Baseline!$J$13,1,0)</f>
        <v>#DIV/0!</v>
      </c>
      <c r="HI193" s="429">
        <f t="shared" si="43"/>
        <v>392105.93690255558</v>
      </c>
      <c r="HJ193" s="429">
        <f t="shared" si="38"/>
        <v>48910903.069173105</v>
      </c>
      <c r="HK193" s="429">
        <f t="shared" si="39"/>
        <v>58061606.033611111</v>
      </c>
      <c r="HL193" s="429" t="str">
        <f>IF(HM193=Reference!$I$12,(HF193-GV193),"")</f>
        <v/>
      </c>
      <c r="HM193" s="429" t="str">
        <f>Reference!I193</f>
        <v/>
      </c>
      <c r="HN193" s="429" t="str">
        <f t="shared" si="44"/>
        <v/>
      </c>
    </row>
    <row r="194" spans="189:222" ht="17.25" customHeight="1" x14ac:dyDescent="0.35">
      <c r="GG194" s="432"/>
      <c r="GJ194" s="429" t="str">
        <f>IF(GK194=$GJ$15,$GJ$15,IF(GJ$24=HF$4,SUM(GK$25:GK194),SUM(GL$25:GL194)))</f>
        <v>N</v>
      </c>
      <c r="GK194" s="438" t="str">
        <f>IFERROR('!!'!G194-'!!'!D194,$GJ$15)</f>
        <v>N</v>
      </c>
      <c r="GL194" s="429" t="str">
        <f t="shared" si="40"/>
        <v>N</v>
      </c>
      <c r="GM194" s="438">
        <f>IFERROR(('!!'!$D194)*('!!'!W194/('!!'!$G194)),0)</f>
        <v>0</v>
      </c>
      <c r="GN194" s="438">
        <f>IFERROR(('!!'!$D194)*('!!'!X194/('!!'!$G194)),0)</f>
        <v>0</v>
      </c>
      <c r="GO194" s="438">
        <f>IFERROR(('!!'!$D194)*('!!'!Y194/('!!'!$G194)),0)</f>
        <v>0</v>
      </c>
      <c r="GP194" s="438">
        <f>IFERROR(('!!'!$D194)*('!!'!Z193/('!!'!$G194)),0)</f>
        <v>0</v>
      </c>
      <c r="GQ194" s="438">
        <f>IFERROR(('!!'!$D194)*('!!'!Q194/('!!'!$G194)),0)</f>
        <v>0</v>
      </c>
      <c r="GR194" s="429">
        <v>1</v>
      </c>
      <c r="GS194" s="429">
        <v>2</v>
      </c>
      <c r="GT194" s="432">
        <f>Monitoring!C194</f>
        <v>0</v>
      </c>
      <c r="GU194" s="432">
        <f>Reference!$C194</f>
        <v>0</v>
      </c>
      <c r="GV194" s="429">
        <f>Reference!$D194</f>
        <v>0</v>
      </c>
      <c r="GW194" s="440">
        <f t="shared" si="48"/>
        <v>0</v>
      </c>
      <c r="GX194" s="440">
        <f t="shared" si="48"/>
        <v>0</v>
      </c>
      <c r="GY194" s="440">
        <f t="shared" si="48"/>
        <v>0</v>
      </c>
      <c r="GZ194" s="440">
        <f t="shared" si="48"/>
        <v>0</v>
      </c>
      <c r="HA194" s="440"/>
      <c r="HB194" s="440"/>
      <c r="HC194" s="440"/>
      <c r="HD194" s="440"/>
      <c r="HE194" s="429">
        <f t="shared" si="41"/>
        <v>170</v>
      </c>
      <c r="HF194" s="429">
        <f>SUM(GW194*Baseline!$P$24,GX194*Baseline!$P$25,GY194*Baseline!$P$26,GZ194*Baseline!$P$27,HA194*Baseline!$P$28,HB194*Baseline!$P$29,HC194*Baseline!$P$30,HD194*Baseline!$P$31,Baseline!$P$23)</f>
        <v>626.18362874044828</v>
      </c>
      <c r="HG194" s="455" t="e">
        <f t="shared" si="42"/>
        <v>#DIV/0!</v>
      </c>
      <c r="HH194" s="429" t="e">
        <f>IF(HG194&lt;=Baseline!$J$13,1,0)</f>
        <v>#DIV/0!</v>
      </c>
      <c r="HI194" s="429">
        <f t="shared" si="43"/>
        <v>392105.93690255558</v>
      </c>
      <c r="HJ194" s="429">
        <f t="shared" si="38"/>
        <v>48910903.069173105</v>
      </c>
      <c r="HK194" s="429">
        <f t="shared" si="39"/>
        <v>58061606.033611111</v>
      </c>
      <c r="HL194" s="429" t="str">
        <f>IF(HM194=Reference!$I$12,(HF194-GV194),"")</f>
        <v/>
      </c>
      <c r="HM194" s="429" t="str">
        <f>Reference!I194</f>
        <v/>
      </c>
      <c r="HN194" s="429" t="str">
        <f t="shared" si="44"/>
        <v/>
      </c>
    </row>
    <row r="195" spans="189:222" ht="17.25" customHeight="1" x14ac:dyDescent="0.35">
      <c r="GG195" s="432"/>
      <c r="GJ195" s="429" t="str">
        <f>IF(GK195=$GJ$15,$GJ$15,IF(GJ$24=HF$4,SUM(GK$25:GK195),SUM(GL$25:GL195)))</f>
        <v>N</v>
      </c>
      <c r="GK195" s="438" t="str">
        <f>IFERROR('!!'!G195-'!!'!D195,$GJ$15)</f>
        <v>N</v>
      </c>
      <c r="GL195" s="429" t="str">
        <f t="shared" si="40"/>
        <v>N</v>
      </c>
      <c r="GM195" s="438">
        <f>IFERROR(('!!'!$D195)*('!!'!W195/('!!'!$G195)),0)</f>
        <v>0</v>
      </c>
      <c r="GN195" s="438">
        <f>IFERROR(('!!'!$D195)*('!!'!X195/('!!'!$G195)),0)</f>
        <v>0</v>
      </c>
      <c r="GO195" s="438">
        <f>IFERROR(('!!'!$D195)*('!!'!Y195/('!!'!$G195)),0)</f>
        <v>0</v>
      </c>
      <c r="GP195" s="438">
        <f>IFERROR(('!!'!$D195)*('!!'!Z194/('!!'!$G195)),0)</f>
        <v>0</v>
      </c>
      <c r="GQ195" s="438">
        <f>IFERROR(('!!'!$D195)*('!!'!Q195/('!!'!$G195)),0)</f>
        <v>0</v>
      </c>
      <c r="GR195" s="429">
        <v>1</v>
      </c>
      <c r="GS195" s="429">
        <v>2</v>
      </c>
      <c r="GT195" s="432">
        <f>Monitoring!C195</f>
        <v>0</v>
      </c>
      <c r="GU195" s="432">
        <f>Reference!$C195</f>
        <v>0</v>
      </c>
      <c r="GV195" s="429">
        <f>Reference!$D195</f>
        <v>0</v>
      </c>
      <c r="GW195" s="440">
        <f t="shared" ref="GW195:GZ204" si="49">IFERROR(VLOOKUP($GU195,Daten.B,GW$22,FALSE)^GW$23,0)</f>
        <v>0</v>
      </c>
      <c r="GX195" s="440">
        <f t="shared" si="49"/>
        <v>0</v>
      </c>
      <c r="GY195" s="440">
        <f t="shared" si="49"/>
        <v>0</v>
      </c>
      <c r="GZ195" s="440">
        <f t="shared" si="49"/>
        <v>0</v>
      </c>
      <c r="HA195" s="440"/>
      <c r="HB195" s="440"/>
      <c r="HC195" s="440"/>
      <c r="HD195" s="440"/>
      <c r="HE195" s="429">
        <f t="shared" si="41"/>
        <v>171</v>
      </c>
      <c r="HF195" s="429">
        <f>SUM(GW195*Baseline!$P$24,GX195*Baseline!$P$25,GY195*Baseline!$P$26,GZ195*Baseline!$P$27,HA195*Baseline!$P$28,HB195*Baseline!$P$29,HC195*Baseline!$P$30,HD195*Baseline!$P$31,Baseline!$P$23)</f>
        <v>626.18362874044828</v>
      </c>
      <c r="HG195" s="455" t="e">
        <f t="shared" si="42"/>
        <v>#DIV/0!</v>
      </c>
      <c r="HH195" s="429" t="e">
        <f>IF(HG195&lt;=Baseline!$J$13,1,0)</f>
        <v>#DIV/0!</v>
      </c>
      <c r="HI195" s="429">
        <f t="shared" si="43"/>
        <v>392105.93690255558</v>
      </c>
      <c r="HJ195" s="429">
        <f t="shared" si="38"/>
        <v>48910903.069173105</v>
      </c>
      <c r="HK195" s="429">
        <f t="shared" si="39"/>
        <v>58061606.033611111</v>
      </c>
      <c r="HL195" s="429" t="str">
        <f>IF(HM195=Reference!$I$12,(HF195-GV195),"")</f>
        <v/>
      </c>
      <c r="HM195" s="429" t="str">
        <f>Reference!I195</f>
        <v/>
      </c>
      <c r="HN195" s="429" t="str">
        <f t="shared" si="44"/>
        <v/>
      </c>
    </row>
    <row r="196" spans="189:222" ht="17.25" customHeight="1" x14ac:dyDescent="0.35">
      <c r="GG196" s="432"/>
      <c r="GJ196" s="429" t="str">
        <f>IF(GK196=$GJ$15,$GJ$15,IF(GJ$24=HF$4,SUM(GK$25:GK196),SUM(GL$25:GL196)))</f>
        <v>N</v>
      </c>
      <c r="GK196" s="438" t="str">
        <f>IFERROR('!!'!G196-'!!'!D196,$GJ$15)</f>
        <v>N</v>
      </c>
      <c r="GL196" s="429" t="str">
        <f t="shared" si="40"/>
        <v>N</v>
      </c>
      <c r="GM196" s="438">
        <f>IFERROR(('!!'!$D196)*('!!'!W196/('!!'!$G196)),0)</f>
        <v>0</v>
      </c>
      <c r="GN196" s="438">
        <f>IFERROR(('!!'!$D196)*('!!'!X196/('!!'!$G196)),0)</f>
        <v>0</v>
      </c>
      <c r="GO196" s="438">
        <f>IFERROR(('!!'!$D196)*('!!'!Y196/('!!'!$G196)),0)</f>
        <v>0</v>
      </c>
      <c r="GP196" s="438">
        <f>IFERROR(('!!'!$D196)*('!!'!Z195/('!!'!$G196)),0)</f>
        <v>0</v>
      </c>
      <c r="GQ196" s="438">
        <f>IFERROR(('!!'!$D196)*('!!'!Q196/('!!'!$G196)),0)</f>
        <v>0</v>
      </c>
      <c r="GR196" s="429">
        <v>1</v>
      </c>
      <c r="GS196" s="429">
        <v>2</v>
      </c>
      <c r="GT196" s="432">
        <f>Monitoring!C196</f>
        <v>0</v>
      </c>
      <c r="GU196" s="432">
        <f>Reference!$C196</f>
        <v>0</v>
      </c>
      <c r="GV196" s="429">
        <f>Reference!$D196</f>
        <v>0</v>
      </c>
      <c r="GW196" s="440">
        <f t="shared" si="49"/>
        <v>0</v>
      </c>
      <c r="GX196" s="440">
        <f t="shared" si="49"/>
        <v>0</v>
      </c>
      <c r="GY196" s="440">
        <f t="shared" si="49"/>
        <v>0</v>
      </c>
      <c r="GZ196" s="440">
        <f t="shared" si="49"/>
        <v>0</v>
      </c>
      <c r="HA196" s="440"/>
      <c r="HB196" s="440"/>
      <c r="HC196" s="440"/>
      <c r="HD196" s="440"/>
      <c r="HE196" s="429">
        <f t="shared" si="41"/>
        <v>172</v>
      </c>
      <c r="HF196" s="429">
        <f>SUM(GW196*Baseline!$P$24,GX196*Baseline!$P$25,GY196*Baseline!$P$26,GZ196*Baseline!$P$27,HA196*Baseline!$P$28,HB196*Baseline!$P$29,HC196*Baseline!$P$30,HD196*Baseline!$P$31,Baseline!$P$23)</f>
        <v>626.18362874044828</v>
      </c>
      <c r="HG196" s="455" t="e">
        <f t="shared" si="42"/>
        <v>#DIV/0!</v>
      </c>
      <c r="HH196" s="429" t="e">
        <f>IF(HG196&lt;=Baseline!$J$13,1,0)</f>
        <v>#DIV/0!</v>
      </c>
      <c r="HI196" s="429">
        <f t="shared" si="43"/>
        <v>392105.93690255558</v>
      </c>
      <c r="HJ196" s="429">
        <f t="shared" si="38"/>
        <v>48910903.069173105</v>
      </c>
      <c r="HK196" s="429">
        <f t="shared" si="39"/>
        <v>58061606.033611111</v>
      </c>
      <c r="HL196" s="429" t="str">
        <f>IF(HM196=Reference!$I$12,(HF196-GV196),"")</f>
        <v/>
      </c>
      <c r="HM196" s="429" t="str">
        <f>Reference!I196</f>
        <v/>
      </c>
      <c r="HN196" s="429" t="str">
        <f t="shared" si="44"/>
        <v/>
      </c>
    </row>
    <row r="197" spans="189:222" ht="17.25" customHeight="1" x14ac:dyDescent="0.35">
      <c r="GG197" s="432"/>
      <c r="GJ197" s="429" t="str">
        <f>IF(GK197=$GJ$15,$GJ$15,IF(GJ$24=HF$4,SUM(GK$25:GK197),SUM(GL$25:GL197)))</f>
        <v>N</v>
      </c>
      <c r="GK197" s="438" t="str">
        <f>IFERROR('!!'!G197-'!!'!D197,$GJ$15)</f>
        <v>N</v>
      </c>
      <c r="GL197" s="429" t="str">
        <f t="shared" si="40"/>
        <v>N</v>
      </c>
      <c r="GM197" s="438">
        <f>IFERROR(('!!'!$D197)*('!!'!W197/('!!'!$G197)),0)</f>
        <v>0</v>
      </c>
      <c r="GN197" s="438">
        <f>IFERROR(('!!'!$D197)*('!!'!X197/('!!'!$G197)),0)</f>
        <v>0</v>
      </c>
      <c r="GO197" s="438">
        <f>IFERROR(('!!'!$D197)*('!!'!Y197/('!!'!$G197)),0)</f>
        <v>0</v>
      </c>
      <c r="GP197" s="438">
        <f>IFERROR(('!!'!$D197)*('!!'!Z196/('!!'!$G197)),0)</f>
        <v>0</v>
      </c>
      <c r="GQ197" s="438">
        <f>IFERROR(('!!'!$D197)*('!!'!Q197/('!!'!$G197)),0)</f>
        <v>0</v>
      </c>
      <c r="GR197" s="429">
        <v>1</v>
      </c>
      <c r="GS197" s="429">
        <v>2</v>
      </c>
      <c r="GT197" s="432">
        <f>Monitoring!C197</f>
        <v>0</v>
      </c>
      <c r="GU197" s="432">
        <f>Reference!$C197</f>
        <v>0</v>
      </c>
      <c r="GV197" s="429">
        <f>Reference!$D197</f>
        <v>0</v>
      </c>
      <c r="GW197" s="440">
        <f t="shared" si="49"/>
        <v>0</v>
      </c>
      <c r="GX197" s="440">
        <f t="shared" si="49"/>
        <v>0</v>
      </c>
      <c r="GY197" s="440">
        <f t="shared" si="49"/>
        <v>0</v>
      </c>
      <c r="GZ197" s="440">
        <f t="shared" si="49"/>
        <v>0</v>
      </c>
      <c r="HA197" s="440"/>
      <c r="HB197" s="440"/>
      <c r="HC197" s="440"/>
      <c r="HD197" s="440"/>
      <c r="HE197" s="429">
        <f t="shared" si="41"/>
        <v>173</v>
      </c>
      <c r="HF197" s="429">
        <f>SUM(GW197*Baseline!$P$24,GX197*Baseline!$P$25,GY197*Baseline!$P$26,GZ197*Baseline!$P$27,HA197*Baseline!$P$28,HB197*Baseline!$P$29,HC197*Baseline!$P$30,HD197*Baseline!$P$31,Baseline!$P$23)</f>
        <v>626.18362874044828</v>
      </c>
      <c r="HG197" s="455" t="e">
        <f t="shared" si="42"/>
        <v>#DIV/0!</v>
      </c>
      <c r="HH197" s="429" t="e">
        <f>IF(HG197&lt;=Baseline!$J$13,1,0)</f>
        <v>#DIV/0!</v>
      </c>
      <c r="HI197" s="429">
        <f t="shared" si="43"/>
        <v>392105.93690255558</v>
      </c>
      <c r="HJ197" s="429">
        <f t="shared" si="38"/>
        <v>48910903.069173105</v>
      </c>
      <c r="HK197" s="429">
        <f t="shared" si="39"/>
        <v>58061606.033611111</v>
      </c>
      <c r="HL197" s="429" t="str">
        <f>IF(HM197=Reference!$I$12,(HF197-GV197),"")</f>
        <v/>
      </c>
      <c r="HM197" s="429" t="str">
        <f>Reference!I197</f>
        <v/>
      </c>
      <c r="HN197" s="429" t="str">
        <f t="shared" si="44"/>
        <v/>
      </c>
    </row>
    <row r="198" spans="189:222" ht="17.25" customHeight="1" x14ac:dyDescent="0.35">
      <c r="GG198" s="432"/>
      <c r="GJ198" s="429" t="str">
        <f>IF(GK198=$GJ$15,$GJ$15,IF(GJ$24=HF$4,SUM(GK$25:GK198),SUM(GL$25:GL198)))</f>
        <v>N</v>
      </c>
      <c r="GK198" s="438" t="str">
        <f>IFERROR('!!'!G198-'!!'!D198,$GJ$15)</f>
        <v>N</v>
      </c>
      <c r="GL198" s="429" t="str">
        <f t="shared" si="40"/>
        <v>N</v>
      </c>
      <c r="GM198" s="438">
        <f>IFERROR(('!!'!$D198)*('!!'!W198/('!!'!$G198)),0)</f>
        <v>0</v>
      </c>
      <c r="GN198" s="438">
        <f>IFERROR(('!!'!$D198)*('!!'!X198/('!!'!$G198)),0)</f>
        <v>0</v>
      </c>
      <c r="GO198" s="438">
        <f>IFERROR(('!!'!$D198)*('!!'!Y198/('!!'!$G198)),0)</f>
        <v>0</v>
      </c>
      <c r="GP198" s="438">
        <f>IFERROR(('!!'!$D198)*('!!'!Z197/('!!'!$G198)),0)</f>
        <v>0</v>
      </c>
      <c r="GQ198" s="438">
        <f>IFERROR(('!!'!$D198)*('!!'!Q198/('!!'!$G198)),0)</f>
        <v>0</v>
      </c>
      <c r="GR198" s="429">
        <v>1</v>
      </c>
      <c r="GS198" s="429">
        <v>2</v>
      </c>
      <c r="GT198" s="432">
        <f>Monitoring!C198</f>
        <v>0</v>
      </c>
      <c r="GU198" s="432">
        <f>Reference!$C198</f>
        <v>0</v>
      </c>
      <c r="GV198" s="429">
        <f>Reference!$D198</f>
        <v>0</v>
      </c>
      <c r="GW198" s="440">
        <f t="shared" si="49"/>
        <v>0</v>
      </c>
      <c r="GX198" s="440">
        <f t="shared" si="49"/>
        <v>0</v>
      </c>
      <c r="GY198" s="440">
        <f t="shared" si="49"/>
        <v>0</v>
      </c>
      <c r="GZ198" s="440">
        <f t="shared" si="49"/>
        <v>0</v>
      </c>
      <c r="HA198" s="440"/>
      <c r="HB198" s="440"/>
      <c r="HC198" s="440"/>
      <c r="HD198" s="440"/>
      <c r="HE198" s="429">
        <f t="shared" si="41"/>
        <v>174</v>
      </c>
      <c r="HF198" s="429">
        <f>SUM(GW198*Baseline!$P$24,GX198*Baseline!$P$25,GY198*Baseline!$P$26,GZ198*Baseline!$P$27,HA198*Baseline!$P$28,HB198*Baseline!$P$29,HC198*Baseline!$P$30,HD198*Baseline!$P$31,Baseline!$P$23)</f>
        <v>626.18362874044828</v>
      </c>
      <c r="HG198" s="455" t="e">
        <f t="shared" si="42"/>
        <v>#DIV/0!</v>
      </c>
      <c r="HH198" s="429" t="e">
        <f>IF(HG198&lt;=Baseline!$J$13,1,0)</f>
        <v>#DIV/0!</v>
      </c>
      <c r="HI198" s="429">
        <f t="shared" si="43"/>
        <v>392105.93690255558</v>
      </c>
      <c r="HJ198" s="429">
        <f t="shared" si="38"/>
        <v>48910903.069173105</v>
      </c>
      <c r="HK198" s="429">
        <f t="shared" si="39"/>
        <v>58061606.033611111</v>
      </c>
      <c r="HL198" s="429" t="str">
        <f>IF(HM198=Reference!$I$12,(HF198-GV198),"")</f>
        <v/>
      </c>
      <c r="HM198" s="429" t="str">
        <f>Reference!I198</f>
        <v/>
      </c>
      <c r="HN198" s="429" t="str">
        <f t="shared" si="44"/>
        <v/>
      </c>
    </row>
    <row r="199" spans="189:222" ht="17.25" customHeight="1" x14ac:dyDescent="0.35">
      <c r="GG199" s="432"/>
      <c r="GJ199" s="429" t="str">
        <f>IF(GK199=$GJ$15,$GJ$15,IF(GJ$24=HF$4,SUM(GK$25:GK199),SUM(GL$25:GL199)))</f>
        <v>N</v>
      </c>
      <c r="GK199" s="438" t="str">
        <f>IFERROR('!!'!G199-'!!'!D199,$GJ$15)</f>
        <v>N</v>
      </c>
      <c r="GL199" s="429" t="str">
        <f t="shared" si="40"/>
        <v>N</v>
      </c>
      <c r="GM199" s="438">
        <f>IFERROR(('!!'!$D199)*('!!'!W199/('!!'!$G199)),0)</f>
        <v>0</v>
      </c>
      <c r="GN199" s="438">
        <f>IFERROR(('!!'!$D199)*('!!'!X199/('!!'!$G199)),0)</f>
        <v>0</v>
      </c>
      <c r="GO199" s="438">
        <f>IFERROR(('!!'!$D199)*('!!'!Y199/('!!'!$G199)),0)</f>
        <v>0</v>
      </c>
      <c r="GP199" s="438">
        <f>IFERROR(('!!'!$D199)*('!!'!Z198/('!!'!$G199)),0)</f>
        <v>0</v>
      </c>
      <c r="GQ199" s="438">
        <f>IFERROR(('!!'!$D199)*('!!'!Q199/('!!'!$G199)),0)</f>
        <v>0</v>
      </c>
      <c r="GR199" s="429">
        <v>1</v>
      </c>
      <c r="GS199" s="429">
        <v>2</v>
      </c>
      <c r="GT199" s="432">
        <f>Monitoring!C199</f>
        <v>0</v>
      </c>
      <c r="GU199" s="432">
        <f>Reference!$C199</f>
        <v>0</v>
      </c>
      <c r="GV199" s="429">
        <f>Reference!$D199</f>
        <v>0</v>
      </c>
      <c r="GW199" s="440">
        <f t="shared" si="49"/>
        <v>0</v>
      </c>
      <c r="GX199" s="440">
        <f t="shared" si="49"/>
        <v>0</v>
      </c>
      <c r="GY199" s="440">
        <f t="shared" si="49"/>
        <v>0</v>
      </c>
      <c r="GZ199" s="440">
        <f t="shared" si="49"/>
        <v>0</v>
      </c>
      <c r="HA199" s="440"/>
      <c r="HB199" s="440"/>
      <c r="HC199" s="440"/>
      <c r="HD199" s="440"/>
      <c r="HE199" s="429">
        <f t="shared" si="41"/>
        <v>175</v>
      </c>
      <c r="HF199" s="429">
        <f>SUM(GW199*Baseline!$P$24,GX199*Baseline!$P$25,GY199*Baseline!$P$26,GZ199*Baseline!$P$27,HA199*Baseline!$P$28,HB199*Baseline!$P$29,HC199*Baseline!$P$30,HD199*Baseline!$P$31,Baseline!$P$23)</f>
        <v>626.18362874044828</v>
      </c>
      <c r="HG199" s="455" t="e">
        <f t="shared" si="42"/>
        <v>#DIV/0!</v>
      </c>
      <c r="HH199" s="429" t="e">
        <f>IF(HG199&lt;=Baseline!$J$13,1,0)</f>
        <v>#DIV/0!</v>
      </c>
      <c r="HI199" s="429">
        <f t="shared" si="43"/>
        <v>392105.93690255558</v>
      </c>
      <c r="HJ199" s="429">
        <f t="shared" si="38"/>
        <v>48910903.069173105</v>
      </c>
      <c r="HK199" s="429">
        <f t="shared" si="39"/>
        <v>58061606.033611111</v>
      </c>
      <c r="HL199" s="429" t="str">
        <f>IF(HM199=Reference!$I$12,(HF199-GV199),"")</f>
        <v/>
      </c>
      <c r="HM199" s="429" t="str">
        <f>Reference!I199</f>
        <v/>
      </c>
      <c r="HN199" s="429" t="str">
        <f t="shared" si="44"/>
        <v/>
      </c>
    </row>
    <row r="200" spans="189:222" ht="17.25" customHeight="1" x14ac:dyDescent="0.35">
      <c r="GG200" s="432"/>
      <c r="GJ200" s="429" t="str">
        <f>IF(GK200=$GJ$15,$GJ$15,IF(GJ$24=HF$4,SUM(GK$25:GK200),SUM(GL$25:GL200)))</f>
        <v>N</v>
      </c>
      <c r="GK200" s="438" t="str">
        <f>IFERROR('!!'!G200-'!!'!D200,$GJ$15)</f>
        <v>N</v>
      </c>
      <c r="GL200" s="429" t="str">
        <f t="shared" si="40"/>
        <v>N</v>
      </c>
      <c r="GM200" s="438">
        <f>IFERROR(('!!'!$D200)*('!!'!W200/('!!'!$G200)),0)</f>
        <v>0</v>
      </c>
      <c r="GN200" s="438">
        <f>IFERROR(('!!'!$D200)*('!!'!X200/('!!'!$G200)),0)</f>
        <v>0</v>
      </c>
      <c r="GO200" s="438">
        <f>IFERROR(('!!'!$D200)*('!!'!Y200/('!!'!$G200)),0)</f>
        <v>0</v>
      </c>
      <c r="GP200" s="438">
        <f>IFERROR(('!!'!$D200)*('!!'!Z199/('!!'!$G200)),0)</f>
        <v>0</v>
      </c>
      <c r="GQ200" s="438">
        <f>IFERROR(('!!'!$D200)*('!!'!Q200/('!!'!$G200)),0)</f>
        <v>0</v>
      </c>
      <c r="GR200" s="429">
        <v>1</v>
      </c>
      <c r="GS200" s="429">
        <v>2</v>
      </c>
      <c r="GT200" s="432">
        <f>Monitoring!C200</f>
        <v>0</v>
      </c>
      <c r="GU200" s="432">
        <f>Reference!$C200</f>
        <v>0</v>
      </c>
      <c r="GV200" s="429">
        <f>Reference!$D200</f>
        <v>0</v>
      </c>
      <c r="GW200" s="440">
        <f t="shared" si="49"/>
        <v>0</v>
      </c>
      <c r="GX200" s="440">
        <f t="shared" si="49"/>
        <v>0</v>
      </c>
      <c r="GY200" s="440">
        <f t="shared" si="49"/>
        <v>0</v>
      </c>
      <c r="GZ200" s="440">
        <f t="shared" si="49"/>
        <v>0</v>
      </c>
      <c r="HA200" s="440"/>
      <c r="HB200" s="440"/>
      <c r="HC200" s="440"/>
      <c r="HD200" s="440"/>
      <c r="HE200" s="429">
        <f t="shared" si="41"/>
        <v>176</v>
      </c>
      <c r="HF200" s="429">
        <f>SUM(GW200*Baseline!$P$24,GX200*Baseline!$P$25,GY200*Baseline!$P$26,GZ200*Baseline!$P$27,HA200*Baseline!$P$28,HB200*Baseline!$P$29,HC200*Baseline!$P$30,HD200*Baseline!$P$31,Baseline!$P$23)</f>
        <v>626.18362874044828</v>
      </c>
      <c r="HG200" s="455" t="e">
        <f t="shared" si="42"/>
        <v>#DIV/0!</v>
      </c>
      <c r="HH200" s="429" t="e">
        <f>IF(HG200&lt;=Baseline!$J$13,1,0)</f>
        <v>#DIV/0!</v>
      </c>
      <c r="HI200" s="429">
        <f t="shared" si="43"/>
        <v>392105.93690255558</v>
      </c>
      <c r="HJ200" s="429">
        <f t="shared" si="38"/>
        <v>48910903.069173105</v>
      </c>
      <c r="HK200" s="429">
        <f t="shared" si="39"/>
        <v>58061606.033611111</v>
      </c>
      <c r="HL200" s="429" t="str">
        <f>IF(HM200=Reference!$I$12,(HF200-GV200),"")</f>
        <v/>
      </c>
      <c r="HM200" s="429" t="str">
        <f>Reference!I200</f>
        <v/>
      </c>
      <c r="HN200" s="429" t="str">
        <f t="shared" si="44"/>
        <v/>
      </c>
    </row>
    <row r="201" spans="189:222" ht="17.25" customHeight="1" x14ac:dyDescent="0.35">
      <c r="GG201" s="432"/>
      <c r="GJ201" s="429" t="str">
        <f>IF(GK201=$GJ$15,$GJ$15,IF(GJ$24=HF$4,SUM(GK$25:GK201),SUM(GL$25:GL201)))</f>
        <v>N</v>
      </c>
      <c r="GK201" s="438" t="str">
        <f>IFERROR('!!'!G201-'!!'!D201,$GJ$15)</f>
        <v>N</v>
      </c>
      <c r="GL201" s="429" t="str">
        <f t="shared" si="40"/>
        <v>N</v>
      </c>
      <c r="GM201" s="438">
        <f>IFERROR(('!!'!$D201)*('!!'!W201/('!!'!$G201)),0)</f>
        <v>0</v>
      </c>
      <c r="GN201" s="438">
        <f>IFERROR(('!!'!$D201)*('!!'!X201/('!!'!$G201)),0)</f>
        <v>0</v>
      </c>
      <c r="GO201" s="438">
        <f>IFERROR(('!!'!$D201)*('!!'!Y201/('!!'!$G201)),0)</f>
        <v>0</v>
      </c>
      <c r="GP201" s="438">
        <f>IFERROR(('!!'!$D201)*('!!'!Z200/('!!'!$G201)),0)</f>
        <v>0</v>
      </c>
      <c r="GQ201" s="438">
        <f>IFERROR(('!!'!$D201)*('!!'!Q201/('!!'!$G201)),0)</f>
        <v>0</v>
      </c>
      <c r="GR201" s="429">
        <v>1</v>
      </c>
      <c r="GS201" s="429">
        <v>2</v>
      </c>
      <c r="GT201" s="432">
        <f>Monitoring!C201</f>
        <v>0</v>
      </c>
      <c r="GU201" s="432">
        <f>Reference!$C201</f>
        <v>0</v>
      </c>
      <c r="GV201" s="429">
        <f>Reference!$D201</f>
        <v>0</v>
      </c>
      <c r="GW201" s="440">
        <f t="shared" si="49"/>
        <v>0</v>
      </c>
      <c r="GX201" s="440">
        <f t="shared" si="49"/>
        <v>0</v>
      </c>
      <c r="GY201" s="440">
        <f t="shared" si="49"/>
        <v>0</v>
      </c>
      <c r="GZ201" s="440">
        <f t="shared" si="49"/>
        <v>0</v>
      </c>
      <c r="HA201" s="440"/>
      <c r="HB201" s="440"/>
      <c r="HC201" s="440"/>
      <c r="HD201" s="440"/>
      <c r="HE201" s="429">
        <f t="shared" si="41"/>
        <v>177</v>
      </c>
      <c r="HF201" s="429">
        <f>SUM(GW201*Baseline!$P$24,GX201*Baseline!$P$25,GY201*Baseline!$P$26,GZ201*Baseline!$P$27,HA201*Baseline!$P$28,HB201*Baseline!$P$29,HC201*Baseline!$P$30,HD201*Baseline!$P$31,Baseline!$P$23)</f>
        <v>626.18362874044828</v>
      </c>
      <c r="HG201" s="455" t="e">
        <f t="shared" si="42"/>
        <v>#DIV/0!</v>
      </c>
      <c r="HH201" s="429" t="e">
        <f>IF(HG201&lt;=Baseline!$J$13,1,0)</f>
        <v>#DIV/0!</v>
      </c>
      <c r="HI201" s="429">
        <f t="shared" si="43"/>
        <v>392105.93690255558</v>
      </c>
      <c r="HJ201" s="429">
        <f t="shared" si="38"/>
        <v>48910903.069173105</v>
      </c>
      <c r="HK201" s="429">
        <f t="shared" si="39"/>
        <v>58061606.033611111</v>
      </c>
      <c r="HL201" s="429" t="str">
        <f>IF(HM201=Reference!$I$12,(HF201-GV201),"")</f>
        <v/>
      </c>
      <c r="HM201" s="429" t="str">
        <f>Reference!I201</f>
        <v/>
      </c>
      <c r="HN201" s="429" t="str">
        <f t="shared" si="44"/>
        <v/>
      </c>
    </row>
    <row r="202" spans="189:222" ht="17.25" customHeight="1" x14ac:dyDescent="0.35">
      <c r="GG202" s="432"/>
      <c r="GJ202" s="429" t="str">
        <f>IF(GK202=$GJ$15,$GJ$15,IF(GJ$24=HF$4,SUM(GK$25:GK202),SUM(GL$25:GL202)))</f>
        <v>N</v>
      </c>
      <c r="GK202" s="438" t="str">
        <f>IFERROR('!!'!G202-'!!'!D202,$GJ$15)</f>
        <v>N</v>
      </c>
      <c r="GL202" s="429" t="str">
        <f t="shared" si="40"/>
        <v>N</v>
      </c>
      <c r="GM202" s="438">
        <f>IFERROR(('!!'!$D202)*('!!'!W202/('!!'!$G202)),0)</f>
        <v>0</v>
      </c>
      <c r="GN202" s="438">
        <f>IFERROR(('!!'!$D202)*('!!'!X202/('!!'!$G202)),0)</f>
        <v>0</v>
      </c>
      <c r="GO202" s="438">
        <f>IFERROR(('!!'!$D202)*('!!'!Y202/('!!'!$G202)),0)</f>
        <v>0</v>
      </c>
      <c r="GP202" s="438">
        <f>IFERROR(('!!'!$D202)*('!!'!Z201/('!!'!$G202)),0)</f>
        <v>0</v>
      </c>
      <c r="GQ202" s="438">
        <f>IFERROR(('!!'!$D202)*('!!'!Q202/('!!'!$G202)),0)</f>
        <v>0</v>
      </c>
      <c r="GR202" s="429">
        <v>1</v>
      </c>
      <c r="GS202" s="429">
        <v>2</v>
      </c>
      <c r="GT202" s="432">
        <f>Monitoring!C202</f>
        <v>0</v>
      </c>
      <c r="GU202" s="432">
        <f>Reference!$C202</f>
        <v>0</v>
      </c>
      <c r="GV202" s="429">
        <f>Reference!$D202</f>
        <v>0</v>
      </c>
      <c r="GW202" s="440">
        <f t="shared" si="49"/>
        <v>0</v>
      </c>
      <c r="GX202" s="440">
        <f t="shared" si="49"/>
        <v>0</v>
      </c>
      <c r="GY202" s="440">
        <f t="shared" si="49"/>
        <v>0</v>
      </c>
      <c r="GZ202" s="440">
        <f t="shared" si="49"/>
        <v>0</v>
      </c>
      <c r="HA202" s="440"/>
      <c r="HB202" s="440"/>
      <c r="HC202" s="440"/>
      <c r="HD202" s="440"/>
      <c r="HE202" s="429">
        <f t="shared" si="41"/>
        <v>178</v>
      </c>
      <c r="HF202" s="429">
        <f>SUM(GW202*Baseline!$P$24,GX202*Baseline!$P$25,GY202*Baseline!$P$26,GZ202*Baseline!$P$27,HA202*Baseline!$P$28,HB202*Baseline!$P$29,HC202*Baseline!$P$30,HD202*Baseline!$P$31,Baseline!$P$23)</f>
        <v>626.18362874044828</v>
      </c>
      <c r="HG202" s="455" t="e">
        <f t="shared" si="42"/>
        <v>#DIV/0!</v>
      </c>
      <c r="HH202" s="429" t="e">
        <f>IF(HG202&lt;=Baseline!$J$13,1,0)</f>
        <v>#DIV/0!</v>
      </c>
      <c r="HI202" s="429">
        <f t="shared" si="43"/>
        <v>392105.93690255558</v>
      </c>
      <c r="HJ202" s="429">
        <f t="shared" si="38"/>
        <v>48910903.069173105</v>
      </c>
      <c r="HK202" s="429">
        <f t="shared" si="39"/>
        <v>58061606.033611111</v>
      </c>
      <c r="HL202" s="429" t="str">
        <f>IF(HM202=Reference!$I$12,(HF202-GV202),"")</f>
        <v/>
      </c>
      <c r="HM202" s="429" t="str">
        <f>Reference!I202</f>
        <v/>
      </c>
      <c r="HN202" s="429" t="str">
        <f t="shared" si="44"/>
        <v/>
      </c>
    </row>
    <row r="203" spans="189:222" ht="17.25" customHeight="1" x14ac:dyDescent="0.35">
      <c r="GG203" s="432"/>
      <c r="GJ203" s="429" t="str">
        <f>IF(GK203=$GJ$15,$GJ$15,IF(GJ$24=HF$4,SUM(GK$25:GK203),SUM(GL$25:GL203)))</f>
        <v>N</v>
      </c>
      <c r="GK203" s="438" t="str">
        <f>IFERROR('!!'!G203-'!!'!D203,$GJ$15)</f>
        <v>N</v>
      </c>
      <c r="GL203" s="429" t="str">
        <f t="shared" si="40"/>
        <v>N</v>
      </c>
      <c r="GM203" s="438">
        <f>IFERROR(('!!'!$D203)*('!!'!W203/('!!'!$G203)),0)</f>
        <v>0</v>
      </c>
      <c r="GN203" s="438">
        <f>IFERROR(('!!'!$D203)*('!!'!X203/('!!'!$G203)),0)</f>
        <v>0</v>
      </c>
      <c r="GO203" s="438">
        <f>IFERROR(('!!'!$D203)*('!!'!Y203/('!!'!$G203)),0)</f>
        <v>0</v>
      </c>
      <c r="GP203" s="438">
        <f>IFERROR(('!!'!$D203)*('!!'!Z202/('!!'!$G203)),0)</f>
        <v>0</v>
      </c>
      <c r="GQ203" s="438">
        <f>IFERROR(('!!'!$D203)*('!!'!Q203/('!!'!$G203)),0)</f>
        <v>0</v>
      </c>
      <c r="GR203" s="429">
        <v>1</v>
      </c>
      <c r="GS203" s="429">
        <v>2</v>
      </c>
      <c r="GT203" s="432">
        <f>Monitoring!C203</f>
        <v>0</v>
      </c>
      <c r="GU203" s="432">
        <f>Reference!$C203</f>
        <v>0</v>
      </c>
      <c r="GV203" s="429">
        <f>Reference!$D203</f>
        <v>0</v>
      </c>
      <c r="GW203" s="440">
        <f t="shared" si="49"/>
        <v>0</v>
      </c>
      <c r="GX203" s="440">
        <f t="shared" si="49"/>
        <v>0</v>
      </c>
      <c r="GY203" s="440">
        <f t="shared" si="49"/>
        <v>0</v>
      </c>
      <c r="GZ203" s="440">
        <f t="shared" si="49"/>
        <v>0</v>
      </c>
      <c r="HA203" s="440"/>
      <c r="HB203" s="440"/>
      <c r="HC203" s="440"/>
      <c r="HD203" s="440"/>
      <c r="HE203" s="429">
        <f t="shared" si="41"/>
        <v>179</v>
      </c>
      <c r="HF203" s="429">
        <f>SUM(GW203*Baseline!$P$24,GX203*Baseline!$P$25,GY203*Baseline!$P$26,GZ203*Baseline!$P$27,HA203*Baseline!$P$28,HB203*Baseline!$P$29,HC203*Baseline!$P$30,HD203*Baseline!$P$31,Baseline!$P$23)</f>
        <v>626.18362874044828</v>
      </c>
      <c r="HG203" s="455" t="e">
        <f t="shared" si="42"/>
        <v>#DIV/0!</v>
      </c>
      <c r="HH203" s="429" t="e">
        <f>IF(HG203&lt;=Baseline!$J$13,1,0)</f>
        <v>#DIV/0!</v>
      </c>
      <c r="HI203" s="429">
        <f t="shared" si="43"/>
        <v>392105.93690255558</v>
      </c>
      <c r="HJ203" s="429">
        <f t="shared" si="38"/>
        <v>48910903.069173105</v>
      </c>
      <c r="HK203" s="429">
        <f t="shared" si="39"/>
        <v>58061606.033611111</v>
      </c>
      <c r="HL203" s="429" t="str">
        <f>IF(HM203=Reference!$I$12,(HF203-GV203),"")</f>
        <v/>
      </c>
      <c r="HM203" s="429" t="str">
        <f>Reference!I203</f>
        <v/>
      </c>
      <c r="HN203" s="429" t="str">
        <f t="shared" si="44"/>
        <v/>
      </c>
    </row>
    <row r="204" spans="189:222" ht="17.25" customHeight="1" x14ac:dyDescent="0.35">
      <c r="GG204" s="432"/>
      <c r="GJ204" s="429" t="str">
        <f>IF(GK204=$GJ$15,$GJ$15,IF(GJ$24=HF$4,SUM(GK$25:GK204),SUM(GL$25:GL204)))</f>
        <v>N</v>
      </c>
      <c r="GK204" s="438" t="str">
        <f>IFERROR('!!'!G204-'!!'!D204,$GJ$15)</f>
        <v>N</v>
      </c>
      <c r="GL204" s="429" t="str">
        <f t="shared" si="40"/>
        <v>N</v>
      </c>
      <c r="GM204" s="438">
        <f>IFERROR(('!!'!$D204)*('!!'!W204/('!!'!$G204)),0)</f>
        <v>0</v>
      </c>
      <c r="GN204" s="438">
        <f>IFERROR(('!!'!$D204)*('!!'!X204/('!!'!$G204)),0)</f>
        <v>0</v>
      </c>
      <c r="GO204" s="438">
        <f>IFERROR(('!!'!$D204)*('!!'!Y204/('!!'!$G204)),0)</f>
        <v>0</v>
      </c>
      <c r="GP204" s="438">
        <f>IFERROR(('!!'!$D204)*('!!'!Z203/('!!'!$G204)),0)</f>
        <v>0</v>
      </c>
      <c r="GQ204" s="438">
        <f>IFERROR(('!!'!$D204)*('!!'!Q204/('!!'!$G204)),0)</f>
        <v>0</v>
      </c>
      <c r="GR204" s="429">
        <v>1</v>
      </c>
      <c r="GS204" s="429">
        <v>2</v>
      </c>
      <c r="GT204" s="432">
        <f>Monitoring!C204</f>
        <v>0</v>
      </c>
      <c r="GU204" s="432">
        <f>Reference!$C204</f>
        <v>0</v>
      </c>
      <c r="GV204" s="429">
        <f>Reference!$D204</f>
        <v>0</v>
      </c>
      <c r="GW204" s="440">
        <f t="shared" si="49"/>
        <v>0</v>
      </c>
      <c r="GX204" s="440">
        <f t="shared" si="49"/>
        <v>0</v>
      </c>
      <c r="GY204" s="440">
        <f t="shared" si="49"/>
        <v>0</v>
      </c>
      <c r="GZ204" s="440">
        <f t="shared" si="49"/>
        <v>0</v>
      </c>
      <c r="HA204" s="440"/>
      <c r="HB204" s="440"/>
      <c r="HC204" s="440"/>
      <c r="HD204" s="440"/>
      <c r="HE204" s="429">
        <f t="shared" si="41"/>
        <v>180</v>
      </c>
      <c r="HF204" s="429">
        <f>SUM(GW204*Baseline!$P$24,GX204*Baseline!$P$25,GY204*Baseline!$P$26,GZ204*Baseline!$P$27,HA204*Baseline!$P$28,HB204*Baseline!$P$29,HC204*Baseline!$P$30,HD204*Baseline!$P$31,Baseline!$P$23)</f>
        <v>626.18362874044828</v>
      </c>
      <c r="HG204" s="455" t="e">
        <f t="shared" si="42"/>
        <v>#DIV/0!</v>
      </c>
      <c r="HH204" s="429" t="e">
        <f>IF(HG204&lt;=Baseline!$J$13,1,0)</f>
        <v>#DIV/0!</v>
      </c>
      <c r="HI204" s="429">
        <f t="shared" si="43"/>
        <v>392105.93690255558</v>
      </c>
      <c r="HJ204" s="429">
        <f t="shared" si="38"/>
        <v>48910903.069173105</v>
      </c>
      <c r="HK204" s="429">
        <f t="shared" si="39"/>
        <v>58061606.033611111</v>
      </c>
      <c r="HL204" s="429" t="str">
        <f>IF(HM204=Reference!$I$12,(HF204-GV204),"")</f>
        <v/>
      </c>
      <c r="HM204" s="429" t="str">
        <f>Reference!I204</f>
        <v/>
      </c>
      <c r="HN204" s="429" t="str">
        <f t="shared" si="44"/>
        <v/>
      </c>
    </row>
    <row r="205" spans="189:222" ht="17.25" customHeight="1" x14ac:dyDescent="0.35">
      <c r="GG205" s="432"/>
      <c r="GJ205" s="429" t="str">
        <f>IF(GK205=$GJ$15,$GJ$15,IF(GJ$24=HF$4,SUM(GK$25:GK205),SUM(GL$25:GL205)))</f>
        <v>N</v>
      </c>
      <c r="GK205" s="438" t="str">
        <f>IFERROR('!!'!G205-'!!'!D205,$GJ$15)</f>
        <v>N</v>
      </c>
      <c r="GL205" s="429" t="str">
        <f t="shared" si="40"/>
        <v>N</v>
      </c>
      <c r="GM205" s="438">
        <f>IFERROR(('!!'!$D205)*('!!'!W205/('!!'!$G205)),0)</f>
        <v>0</v>
      </c>
      <c r="GN205" s="438">
        <f>IFERROR(('!!'!$D205)*('!!'!X205/('!!'!$G205)),0)</f>
        <v>0</v>
      </c>
      <c r="GO205" s="438">
        <f>IFERROR(('!!'!$D205)*('!!'!Y205/('!!'!$G205)),0)</f>
        <v>0</v>
      </c>
      <c r="GP205" s="438">
        <f>IFERROR(('!!'!$D205)*('!!'!Z204/('!!'!$G205)),0)</f>
        <v>0</v>
      </c>
      <c r="GQ205" s="438">
        <f>IFERROR(('!!'!$D205)*('!!'!Q205/('!!'!$G205)),0)</f>
        <v>0</v>
      </c>
      <c r="GR205" s="429">
        <v>1</v>
      </c>
      <c r="GS205" s="429">
        <v>2</v>
      </c>
      <c r="GT205" s="432">
        <f>Monitoring!C205</f>
        <v>0</v>
      </c>
      <c r="GU205" s="432">
        <f>Reference!$C205</f>
        <v>0</v>
      </c>
      <c r="GV205" s="429">
        <f>Reference!$D205</f>
        <v>0</v>
      </c>
      <c r="GW205" s="440">
        <f t="shared" ref="GW205:GZ214" si="50">IFERROR(VLOOKUP($GU205,Daten.B,GW$22,FALSE)^GW$23,0)</f>
        <v>0</v>
      </c>
      <c r="GX205" s="440">
        <f t="shared" si="50"/>
        <v>0</v>
      </c>
      <c r="GY205" s="440">
        <f t="shared" si="50"/>
        <v>0</v>
      </c>
      <c r="GZ205" s="440">
        <f t="shared" si="50"/>
        <v>0</v>
      </c>
      <c r="HA205" s="440"/>
      <c r="HB205" s="440"/>
      <c r="HC205" s="440"/>
      <c r="HD205" s="440"/>
      <c r="HE205" s="429">
        <f t="shared" si="41"/>
        <v>181</v>
      </c>
      <c r="HF205" s="429">
        <f>SUM(GW205*Baseline!$P$24,GX205*Baseline!$P$25,GY205*Baseline!$P$26,GZ205*Baseline!$P$27,HA205*Baseline!$P$28,HB205*Baseline!$P$29,HC205*Baseline!$P$30,HD205*Baseline!$P$31,Baseline!$P$23)</f>
        <v>626.18362874044828</v>
      </c>
      <c r="HG205" s="455" t="e">
        <f t="shared" si="42"/>
        <v>#DIV/0!</v>
      </c>
      <c r="HH205" s="429" t="e">
        <f>IF(HG205&lt;=Baseline!$J$13,1,0)</f>
        <v>#DIV/0!</v>
      </c>
      <c r="HI205" s="429">
        <f t="shared" si="43"/>
        <v>392105.93690255558</v>
      </c>
      <c r="HJ205" s="429">
        <f t="shared" si="38"/>
        <v>48910903.069173105</v>
      </c>
      <c r="HK205" s="429">
        <f t="shared" si="39"/>
        <v>58061606.033611111</v>
      </c>
      <c r="HL205" s="429" t="str">
        <f>IF(HM205=Reference!$I$12,(HF205-GV205),"")</f>
        <v/>
      </c>
      <c r="HM205" s="429" t="str">
        <f>Reference!I205</f>
        <v/>
      </c>
      <c r="HN205" s="429" t="str">
        <f t="shared" si="44"/>
        <v/>
      </c>
    </row>
    <row r="206" spans="189:222" ht="17.25" customHeight="1" x14ac:dyDescent="0.35">
      <c r="GG206" s="432"/>
      <c r="GJ206" s="429" t="str">
        <f>IF(GK206=$GJ$15,$GJ$15,IF(GJ$24=HF$4,SUM(GK$25:GK206),SUM(GL$25:GL206)))</f>
        <v>N</v>
      </c>
      <c r="GK206" s="438" t="str">
        <f>IFERROR('!!'!G206-'!!'!D206,$GJ$15)</f>
        <v>N</v>
      </c>
      <c r="GL206" s="429" t="str">
        <f t="shared" si="40"/>
        <v>N</v>
      </c>
      <c r="GM206" s="438">
        <f>IFERROR(('!!'!$D206)*('!!'!W206/('!!'!$G206)),0)</f>
        <v>0</v>
      </c>
      <c r="GN206" s="438">
        <f>IFERROR(('!!'!$D206)*('!!'!X206/('!!'!$G206)),0)</f>
        <v>0</v>
      </c>
      <c r="GO206" s="438">
        <f>IFERROR(('!!'!$D206)*('!!'!Y206/('!!'!$G206)),0)</f>
        <v>0</v>
      </c>
      <c r="GP206" s="438">
        <f>IFERROR(('!!'!$D206)*('!!'!Z205/('!!'!$G206)),0)</f>
        <v>0</v>
      </c>
      <c r="GQ206" s="438">
        <f>IFERROR(('!!'!$D206)*('!!'!Q206/('!!'!$G206)),0)</f>
        <v>0</v>
      </c>
      <c r="GR206" s="429">
        <v>1</v>
      </c>
      <c r="GS206" s="429">
        <v>2</v>
      </c>
      <c r="GT206" s="432">
        <f>Monitoring!C206</f>
        <v>0</v>
      </c>
      <c r="GU206" s="432">
        <f>Reference!$C206</f>
        <v>0</v>
      </c>
      <c r="GV206" s="429">
        <f>Reference!$D206</f>
        <v>0</v>
      </c>
      <c r="GW206" s="440">
        <f t="shared" si="50"/>
        <v>0</v>
      </c>
      <c r="GX206" s="440">
        <f t="shared" si="50"/>
        <v>0</v>
      </c>
      <c r="GY206" s="440">
        <f t="shared" si="50"/>
        <v>0</v>
      </c>
      <c r="GZ206" s="440">
        <f t="shared" si="50"/>
        <v>0</v>
      </c>
      <c r="HA206" s="440"/>
      <c r="HB206" s="440"/>
      <c r="HC206" s="440"/>
      <c r="HD206" s="440"/>
      <c r="HE206" s="429">
        <f t="shared" si="41"/>
        <v>182</v>
      </c>
      <c r="HF206" s="429">
        <f>SUM(GW206*Baseline!$P$24,GX206*Baseline!$P$25,GY206*Baseline!$P$26,GZ206*Baseline!$P$27,HA206*Baseline!$P$28,HB206*Baseline!$P$29,HC206*Baseline!$P$30,HD206*Baseline!$P$31,Baseline!$P$23)</f>
        <v>626.18362874044828</v>
      </c>
      <c r="HG206" s="455" t="e">
        <f t="shared" si="42"/>
        <v>#DIV/0!</v>
      </c>
      <c r="HH206" s="429" t="e">
        <f>IF(HG206&lt;=Baseline!$J$13,1,0)</f>
        <v>#DIV/0!</v>
      </c>
      <c r="HI206" s="429">
        <f t="shared" si="43"/>
        <v>392105.93690255558</v>
      </c>
      <c r="HJ206" s="429">
        <f t="shared" si="38"/>
        <v>48910903.069173105</v>
      </c>
      <c r="HK206" s="429">
        <f t="shared" si="39"/>
        <v>58061606.033611111</v>
      </c>
      <c r="HL206" s="429" t="str">
        <f>IF(HM206=Reference!$I$12,(HF206-GV206),"")</f>
        <v/>
      </c>
      <c r="HM206" s="429" t="str">
        <f>Reference!I206</f>
        <v/>
      </c>
      <c r="HN206" s="429" t="str">
        <f t="shared" si="44"/>
        <v/>
      </c>
    </row>
    <row r="207" spans="189:222" ht="17.25" customHeight="1" x14ac:dyDescent="0.35">
      <c r="GG207" s="432"/>
      <c r="GJ207" s="429" t="str">
        <f>IF(GK207=$GJ$15,$GJ$15,IF(GJ$24=HF$4,SUM(GK$25:GK207),SUM(GL$25:GL207)))</f>
        <v>N</v>
      </c>
      <c r="GK207" s="438" t="str">
        <f>IFERROR('!!'!G207-'!!'!D207,$GJ$15)</f>
        <v>N</v>
      </c>
      <c r="GL207" s="429" t="str">
        <f t="shared" si="40"/>
        <v>N</v>
      </c>
      <c r="GM207" s="438">
        <f>IFERROR(('!!'!$D207)*('!!'!W207/('!!'!$G207)),0)</f>
        <v>0</v>
      </c>
      <c r="GN207" s="438">
        <f>IFERROR(('!!'!$D207)*('!!'!X207/('!!'!$G207)),0)</f>
        <v>0</v>
      </c>
      <c r="GO207" s="438">
        <f>IFERROR(('!!'!$D207)*('!!'!Y207/('!!'!$G207)),0)</f>
        <v>0</v>
      </c>
      <c r="GP207" s="438">
        <f>IFERROR(('!!'!$D207)*('!!'!Z206/('!!'!$G207)),0)</f>
        <v>0</v>
      </c>
      <c r="GQ207" s="438">
        <f>IFERROR(('!!'!$D207)*('!!'!Q207/('!!'!$G207)),0)</f>
        <v>0</v>
      </c>
      <c r="GR207" s="429">
        <v>1</v>
      </c>
      <c r="GS207" s="429">
        <v>2</v>
      </c>
      <c r="GT207" s="432">
        <f>Monitoring!C207</f>
        <v>0</v>
      </c>
      <c r="GU207" s="432">
        <f>Reference!$C207</f>
        <v>0</v>
      </c>
      <c r="GV207" s="429">
        <f>Reference!$D207</f>
        <v>0</v>
      </c>
      <c r="GW207" s="440">
        <f t="shared" si="50"/>
        <v>0</v>
      </c>
      <c r="GX207" s="440">
        <f t="shared" si="50"/>
        <v>0</v>
      </c>
      <c r="GY207" s="440">
        <f t="shared" si="50"/>
        <v>0</v>
      </c>
      <c r="GZ207" s="440">
        <f t="shared" si="50"/>
        <v>0</v>
      </c>
      <c r="HA207" s="440"/>
      <c r="HB207" s="440"/>
      <c r="HC207" s="440"/>
      <c r="HD207" s="440"/>
      <c r="HE207" s="429">
        <f t="shared" si="41"/>
        <v>183</v>
      </c>
      <c r="HF207" s="429">
        <f>SUM(GW207*Baseline!$P$24,GX207*Baseline!$P$25,GY207*Baseline!$P$26,GZ207*Baseline!$P$27,HA207*Baseline!$P$28,HB207*Baseline!$P$29,HC207*Baseline!$P$30,HD207*Baseline!$P$31,Baseline!$P$23)</f>
        <v>626.18362874044828</v>
      </c>
      <c r="HG207" s="455" t="e">
        <f t="shared" si="42"/>
        <v>#DIV/0!</v>
      </c>
      <c r="HH207" s="429" t="e">
        <f>IF(HG207&lt;=Baseline!$J$13,1,0)</f>
        <v>#DIV/0!</v>
      </c>
      <c r="HI207" s="429">
        <f t="shared" si="43"/>
        <v>392105.93690255558</v>
      </c>
      <c r="HJ207" s="429">
        <f t="shared" si="38"/>
        <v>48910903.069173105</v>
      </c>
      <c r="HK207" s="429">
        <f t="shared" si="39"/>
        <v>58061606.033611111</v>
      </c>
      <c r="HL207" s="429" t="str">
        <f>IF(HM207=Reference!$I$12,(HF207-GV207),"")</f>
        <v/>
      </c>
      <c r="HM207" s="429" t="str">
        <f>Reference!I207</f>
        <v/>
      </c>
      <c r="HN207" s="429" t="str">
        <f t="shared" si="44"/>
        <v/>
      </c>
    </row>
    <row r="208" spans="189:222" ht="17.25" customHeight="1" x14ac:dyDescent="0.35">
      <c r="GG208" s="432"/>
      <c r="GJ208" s="429" t="str">
        <f>IF(GK208=$GJ$15,$GJ$15,IF(GJ$24=HF$4,SUM(GK$25:GK208),SUM(GL$25:GL208)))</f>
        <v>N</v>
      </c>
      <c r="GK208" s="438" t="str">
        <f>IFERROR('!!'!G208-'!!'!D208,$GJ$15)</f>
        <v>N</v>
      </c>
      <c r="GL208" s="429" t="str">
        <f t="shared" si="40"/>
        <v>N</v>
      </c>
      <c r="GM208" s="438">
        <f>IFERROR(('!!'!$D208)*('!!'!W208/('!!'!$G208)),0)</f>
        <v>0</v>
      </c>
      <c r="GN208" s="438">
        <f>IFERROR(('!!'!$D208)*('!!'!X208/('!!'!$G208)),0)</f>
        <v>0</v>
      </c>
      <c r="GO208" s="438">
        <f>IFERROR(('!!'!$D208)*('!!'!Y208/('!!'!$G208)),0)</f>
        <v>0</v>
      </c>
      <c r="GP208" s="438">
        <f>IFERROR(('!!'!$D208)*('!!'!Z207/('!!'!$G208)),0)</f>
        <v>0</v>
      </c>
      <c r="GQ208" s="438">
        <f>IFERROR(('!!'!$D208)*('!!'!Q208/('!!'!$G208)),0)</f>
        <v>0</v>
      </c>
      <c r="GR208" s="429">
        <v>1</v>
      </c>
      <c r="GS208" s="429">
        <v>2</v>
      </c>
      <c r="GT208" s="432">
        <f>Monitoring!C208</f>
        <v>0</v>
      </c>
      <c r="GU208" s="432">
        <f>Reference!$C208</f>
        <v>0</v>
      </c>
      <c r="GV208" s="429">
        <f>Reference!$D208</f>
        <v>0</v>
      </c>
      <c r="GW208" s="440">
        <f t="shared" si="50"/>
        <v>0</v>
      </c>
      <c r="GX208" s="440">
        <f t="shared" si="50"/>
        <v>0</v>
      </c>
      <c r="GY208" s="440">
        <f t="shared" si="50"/>
        <v>0</v>
      </c>
      <c r="GZ208" s="440">
        <f t="shared" si="50"/>
        <v>0</v>
      </c>
      <c r="HA208" s="440"/>
      <c r="HB208" s="440"/>
      <c r="HC208" s="440"/>
      <c r="HD208" s="440"/>
      <c r="HE208" s="429">
        <f t="shared" si="41"/>
        <v>184</v>
      </c>
      <c r="HF208" s="429">
        <f>SUM(GW208*Baseline!$P$24,GX208*Baseline!$P$25,GY208*Baseline!$P$26,GZ208*Baseline!$P$27,HA208*Baseline!$P$28,HB208*Baseline!$P$29,HC208*Baseline!$P$30,HD208*Baseline!$P$31,Baseline!$P$23)</f>
        <v>626.18362874044828</v>
      </c>
      <c r="HG208" s="455" t="e">
        <f t="shared" si="42"/>
        <v>#DIV/0!</v>
      </c>
      <c r="HH208" s="429" t="e">
        <f>IF(HG208&lt;=Baseline!$J$13,1,0)</f>
        <v>#DIV/0!</v>
      </c>
      <c r="HI208" s="429">
        <f t="shared" si="43"/>
        <v>392105.93690255558</v>
      </c>
      <c r="HJ208" s="429">
        <f t="shared" si="38"/>
        <v>48910903.069173105</v>
      </c>
      <c r="HK208" s="429">
        <f t="shared" si="39"/>
        <v>58061606.033611111</v>
      </c>
      <c r="HL208" s="429" t="str">
        <f>IF(HM208=Reference!$I$12,(HF208-GV208),"")</f>
        <v/>
      </c>
      <c r="HM208" s="429" t="str">
        <f>Reference!I208</f>
        <v/>
      </c>
      <c r="HN208" s="429" t="str">
        <f t="shared" si="44"/>
        <v/>
      </c>
    </row>
    <row r="209" spans="189:222" ht="17.25" customHeight="1" x14ac:dyDescent="0.35">
      <c r="GG209" s="432"/>
      <c r="GJ209" s="429" t="str">
        <f>IF(GK209=$GJ$15,$GJ$15,IF(GJ$24=HF$4,SUM(GK$25:GK209),SUM(GL$25:GL209)))</f>
        <v>N</v>
      </c>
      <c r="GK209" s="438" t="str">
        <f>IFERROR('!!'!G209-'!!'!D209,$GJ$15)</f>
        <v>N</v>
      </c>
      <c r="GL209" s="429" t="str">
        <f t="shared" si="40"/>
        <v>N</v>
      </c>
      <c r="GM209" s="438">
        <f>IFERROR(('!!'!$D209)*('!!'!W209/('!!'!$G209)),0)</f>
        <v>0</v>
      </c>
      <c r="GN209" s="438">
        <f>IFERROR(('!!'!$D209)*('!!'!X209/('!!'!$G209)),0)</f>
        <v>0</v>
      </c>
      <c r="GO209" s="438">
        <f>IFERROR(('!!'!$D209)*('!!'!Y209/('!!'!$G209)),0)</f>
        <v>0</v>
      </c>
      <c r="GP209" s="438">
        <f>IFERROR(('!!'!$D209)*('!!'!Z208/('!!'!$G209)),0)</f>
        <v>0</v>
      </c>
      <c r="GQ209" s="438">
        <f>IFERROR(('!!'!$D209)*('!!'!Q209/('!!'!$G209)),0)</f>
        <v>0</v>
      </c>
      <c r="GR209" s="429">
        <v>1</v>
      </c>
      <c r="GS209" s="429">
        <v>2</v>
      </c>
      <c r="GT209" s="432">
        <f>Monitoring!C209</f>
        <v>0</v>
      </c>
      <c r="GU209" s="432">
        <f>Reference!$C209</f>
        <v>0</v>
      </c>
      <c r="GV209" s="429">
        <f>Reference!$D209</f>
        <v>0</v>
      </c>
      <c r="GW209" s="440">
        <f t="shared" si="50"/>
        <v>0</v>
      </c>
      <c r="GX209" s="440">
        <f t="shared" si="50"/>
        <v>0</v>
      </c>
      <c r="GY209" s="440">
        <f t="shared" si="50"/>
        <v>0</v>
      </c>
      <c r="GZ209" s="440">
        <f t="shared" si="50"/>
        <v>0</v>
      </c>
      <c r="HA209" s="440"/>
      <c r="HB209" s="440"/>
      <c r="HC209" s="440"/>
      <c r="HD209" s="440"/>
      <c r="HE209" s="429">
        <f t="shared" si="41"/>
        <v>185</v>
      </c>
      <c r="HF209" s="429">
        <f>SUM(GW209*Baseline!$P$24,GX209*Baseline!$P$25,GY209*Baseline!$P$26,GZ209*Baseline!$P$27,HA209*Baseline!$P$28,HB209*Baseline!$P$29,HC209*Baseline!$P$30,HD209*Baseline!$P$31,Baseline!$P$23)</f>
        <v>626.18362874044828</v>
      </c>
      <c r="HG209" s="455" t="e">
        <f t="shared" si="42"/>
        <v>#DIV/0!</v>
      </c>
      <c r="HH209" s="429" t="e">
        <f>IF(HG209&lt;=Baseline!$J$13,1,0)</f>
        <v>#DIV/0!</v>
      </c>
      <c r="HI209" s="429">
        <f t="shared" si="43"/>
        <v>392105.93690255558</v>
      </c>
      <c r="HJ209" s="429">
        <f t="shared" si="38"/>
        <v>48910903.069173105</v>
      </c>
      <c r="HK209" s="429">
        <f t="shared" si="39"/>
        <v>58061606.033611111</v>
      </c>
      <c r="HL209" s="429" t="str">
        <f>IF(HM209=Reference!$I$12,(HF209-GV209),"")</f>
        <v/>
      </c>
      <c r="HM209" s="429" t="str">
        <f>Reference!I209</f>
        <v/>
      </c>
      <c r="HN209" s="429" t="str">
        <f t="shared" si="44"/>
        <v/>
      </c>
    </row>
    <row r="210" spans="189:222" ht="17.25" customHeight="1" x14ac:dyDescent="0.35">
      <c r="GG210" s="432"/>
      <c r="GJ210" s="429" t="str">
        <f>IF(GK210=$GJ$15,$GJ$15,IF(GJ$24=HF$4,SUM(GK$25:GK210),SUM(GL$25:GL210)))</f>
        <v>N</v>
      </c>
      <c r="GK210" s="438" t="str">
        <f>IFERROR('!!'!G210-'!!'!D210,$GJ$15)</f>
        <v>N</v>
      </c>
      <c r="GL210" s="429" t="str">
        <f t="shared" si="40"/>
        <v>N</v>
      </c>
      <c r="GM210" s="438">
        <f>IFERROR(('!!'!$D210)*('!!'!W210/('!!'!$G210)),0)</f>
        <v>0</v>
      </c>
      <c r="GN210" s="438">
        <f>IFERROR(('!!'!$D210)*('!!'!X210/('!!'!$G210)),0)</f>
        <v>0</v>
      </c>
      <c r="GO210" s="438">
        <f>IFERROR(('!!'!$D210)*('!!'!Y210/('!!'!$G210)),0)</f>
        <v>0</v>
      </c>
      <c r="GP210" s="438">
        <f>IFERROR(('!!'!$D210)*('!!'!Z209/('!!'!$G210)),0)</f>
        <v>0</v>
      </c>
      <c r="GQ210" s="438">
        <f>IFERROR(('!!'!$D210)*('!!'!Q210/('!!'!$G210)),0)</f>
        <v>0</v>
      </c>
      <c r="GR210" s="429">
        <v>1</v>
      </c>
      <c r="GS210" s="429">
        <v>2</v>
      </c>
      <c r="GT210" s="432">
        <f>Monitoring!C210</f>
        <v>0</v>
      </c>
      <c r="GU210" s="432">
        <f>Reference!$C210</f>
        <v>0</v>
      </c>
      <c r="GV210" s="429">
        <f>Reference!$D210</f>
        <v>0</v>
      </c>
      <c r="GW210" s="440">
        <f t="shared" si="50"/>
        <v>0</v>
      </c>
      <c r="GX210" s="440">
        <f t="shared" si="50"/>
        <v>0</v>
      </c>
      <c r="GY210" s="440">
        <f t="shared" si="50"/>
        <v>0</v>
      </c>
      <c r="GZ210" s="440">
        <f t="shared" si="50"/>
        <v>0</v>
      </c>
      <c r="HA210" s="440"/>
      <c r="HB210" s="440"/>
      <c r="HC210" s="440"/>
      <c r="HD210" s="440"/>
      <c r="HE210" s="429">
        <f t="shared" si="41"/>
        <v>186</v>
      </c>
      <c r="HF210" s="429">
        <f>SUM(GW210*Baseline!$P$24,GX210*Baseline!$P$25,GY210*Baseline!$P$26,GZ210*Baseline!$P$27,HA210*Baseline!$P$28,HB210*Baseline!$P$29,HC210*Baseline!$P$30,HD210*Baseline!$P$31,Baseline!$P$23)</f>
        <v>626.18362874044828</v>
      </c>
      <c r="HG210" s="455" t="e">
        <f t="shared" si="42"/>
        <v>#DIV/0!</v>
      </c>
      <c r="HH210" s="429" t="e">
        <f>IF(HG210&lt;=Baseline!$J$13,1,0)</f>
        <v>#DIV/0!</v>
      </c>
      <c r="HI210" s="429">
        <f t="shared" si="43"/>
        <v>392105.93690255558</v>
      </c>
      <c r="HJ210" s="429">
        <f t="shared" si="38"/>
        <v>48910903.069173105</v>
      </c>
      <c r="HK210" s="429">
        <f t="shared" si="39"/>
        <v>58061606.033611111</v>
      </c>
      <c r="HL210" s="429" t="str">
        <f>IF(HM210=Reference!$I$12,(HF210-GV210),"")</f>
        <v/>
      </c>
      <c r="HM210" s="429" t="str">
        <f>Reference!I210</f>
        <v/>
      </c>
      <c r="HN210" s="429" t="str">
        <f t="shared" si="44"/>
        <v/>
      </c>
    </row>
    <row r="211" spans="189:222" ht="17.25" customHeight="1" x14ac:dyDescent="0.35">
      <c r="GG211" s="432"/>
      <c r="GJ211" s="429" t="str">
        <f>IF(GK211=$GJ$15,$GJ$15,IF(GJ$24=HF$4,SUM(GK$25:GK211),SUM(GL$25:GL211)))</f>
        <v>N</v>
      </c>
      <c r="GK211" s="438" t="str">
        <f>IFERROR('!!'!G211-'!!'!D211,$GJ$15)</f>
        <v>N</v>
      </c>
      <c r="GL211" s="429" t="str">
        <f t="shared" si="40"/>
        <v>N</v>
      </c>
      <c r="GM211" s="438">
        <f>IFERROR(('!!'!$D211)*('!!'!W211/('!!'!$G211)),0)</f>
        <v>0</v>
      </c>
      <c r="GN211" s="438">
        <f>IFERROR(('!!'!$D211)*('!!'!X211/('!!'!$G211)),0)</f>
        <v>0</v>
      </c>
      <c r="GO211" s="438">
        <f>IFERROR(('!!'!$D211)*('!!'!Y211/('!!'!$G211)),0)</f>
        <v>0</v>
      </c>
      <c r="GP211" s="438">
        <f>IFERROR(('!!'!$D211)*('!!'!Z210/('!!'!$G211)),0)</f>
        <v>0</v>
      </c>
      <c r="GQ211" s="438">
        <f>IFERROR(('!!'!$D211)*('!!'!Q211/('!!'!$G211)),0)</f>
        <v>0</v>
      </c>
      <c r="GR211" s="429">
        <v>1</v>
      </c>
      <c r="GS211" s="429">
        <v>2</v>
      </c>
      <c r="GT211" s="432">
        <f>Monitoring!C211</f>
        <v>0</v>
      </c>
      <c r="GU211" s="432">
        <f>Reference!$C211</f>
        <v>0</v>
      </c>
      <c r="GV211" s="429">
        <f>Reference!$D211</f>
        <v>0</v>
      </c>
      <c r="GW211" s="440">
        <f t="shared" si="50"/>
        <v>0</v>
      </c>
      <c r="GX211" s="440">
        <f t="shared" si="50"/>
        <v>0</v>
      </c>
      <c r="GY211" s="440">
        <f t="shared" si="50"/>
        <v>0</v>
      </c>
      <c r="GZ211" s="440">
        <f t="shared" si="50"/>
        <v>0</v>
      </c>
      <c r="HA211" s="440"/>
      <c r="HB211" s="440"/>
      <c r="HC211" s="440"/>
      <c r="HD211" s="440"/>
      <c r="HE211" s="429">
        <f t="shared" si="41"/>
        <v>187</v>
      </c>
      <c r="HF211" s="429">
        <f>SUM(GW211*Baseline!$P$24,GX211*Baseline!$P$25,GY211*Baseline!$P$26,GZ211*Baseline!$P$27,HA211*Baseline!$P$28,HB211*Baseline!$P$29,HC211*Baseline!$P$30,HD211*Baseline!$P$31,Baseline!$P$23)</f>
        <v>626.18362874044828</v>
      </c>
      <c r="HG211" s="455" t="e">
        <f t="shared" si="42"/>
        <v>#DIV/0!</v>
      </c>
      <c r="HH211" s="429" t="e">
        <f>IF(HG211&lt;=Baseline!$J$13,1,0)</f>
        <v>#DIV/0!</v>
      </c>
      <c r="HI211" s="429">
        <f t="shared" si="43"/>
        <v>392105.93690255558</v>
      </c>
      <c r="HJ211" s="429">
        <f t="shared" si="38"/>
        <v>48910903.069173105</v>
      </c>
      <c r="HK211" s="429">
        <f t="shared" si="39"/>
        <v>58061606.033611111</v>
      </c>
      <c r="HL211" s="429" t="str">
        <f>IF(HM211=Reference!$I$12,(HF211-GV211),"")</f>
        <v/>
      </c>
      <c r="HM211" s="429" t="str">
        <f>Reference!I211</f>
        <v/>
      </c>
      <c r="HN211" s="429" t="str">
        <f t="shared" si="44"/>
        <v/>
      </c>
    </row>
    <row r="212" spans="189:222" ht="17.25" customHeight="1" x14ac:dyDescent="0.35">
      <c r="GG212" s="432"/>
      <c r="GJ212" s="429" t="str">
        <f>IF(GK212=$GJ$15,$GJ$15,IF(GJ$24=HF$4,SUM(GK$25:GK212),SUM(GL$25:GL212)))</f>
        <v>N</v>
      </c>
      <c r="GK212" s="438" t="str">
        <f>IFERROR('!!'!G212-'!!'!D212,$GJ$15)</f>
        <v>N</v>
      </c>
      <c r="GL212" s="429" t="str">
        <f t="shared" si="40"/>
        <v>N</v>
      </c>
      <c r="GM212" s="438">
        <f>IFERROR(('!!'!$D212)*('!!'!W212/('!!'!$G212)),0)</f>
        <v>0</v>
      </c>
      <c r="GN212" s="438">
        <f>IFERROR(('!!'!$D212)*('!!'!X212/('!!'!$G212)),0)</f>
        <v>0</v>
      </c>
      <c r="GO212" s="438">
        <f>IFERROR(('!!'!$D212)*('!!'!Y212/('!!'!$G212)),0)</f>
        <v>0</v>
      </c>
      <c r="GP212" s="438">
        <f>IFERROR(('!!'!$D212)*('!!'!Z211/('!!'!$G212)),0)</f>
        <v>0</v>
      </c>
      <c r="GQ212" s="438">
        <f>IFERROR(('!!'!$D212)*('!!'!Q212/('!!'!$G212)),0)</f>
        <v>0</v>
      </c>
      <c r="GR212" s="429">
        <v>1</v>
      </c>
      <c r="GS212" s="429">
        <v>2</v>
      </c>
      <c r="GT212" s="432">
        <f>Monitoring!C212</f>
        <v>0</v>
      </c>
      <c r="GU212" s="432">
        <f>Reference!$C212</f>
        <v>0</v>
      </c>
      <c r="GV212" s="429">
        <f>Reference!$D212</f>
        <v>0</v>
      </c>
      <c r="GW212" s="440">
        <f t="shared" si="50"/>
        <v>0</v>
      </c>
      <c r="GX212" s="440">
        <f t="shared" si="50"/>
        <v>0</v>
      </c>
      <c r="GY212" s="440">
        <f t="shared" si="50"/>
        <v>0</v>
      </c>
      <c r="GZ212" s="440">
        <f t="shared" si="50"/>
        <v>0</v>
      </c>
      <c r="HA212" s="440"/>
      <c r="HB212" s="440"/>
      <c r="HC212" s="440"/>
      <c r="HD212" s="440"/>
      <c r="HE212" s="429">
        <f t="shared" si="41"/>
        <v>188</v>
      </c>
      <c r="HF212" s="429">
        <f>SUM(GW212*Baseline!$P$24,GX212*Baseline!$P$25,GY212*Baseline!$P$26,GZ212*Baseline!$P$27,HA212*Baseline!$P$28,HB212*Baseline!$P$29,HC212*Baseline!$P$30,HD212*Baseline!$P$31,Baseline!$P$23)</f>
        <v>626.18362874044828</v>
      </c>
      <c r="HG212" s="455" t="e">
        <f t="shared" si="42"/>
        <v>#DIV/0!</v>
      </c>
      <c r="HH212" s="429" t="e">
        <f>IF(HG212&lt;=Baseline!$J$13,1,0)</f>
        <v>#DIV/0!</v>
      </c>
      <c r="HI212" s="429">
        <f t="shared" si="43"/>
        <v>392105.93690255558</v>
      </c>
      <c r="HJ212" s="429">
        <f t="shared" si="38"/>
        <v>48910903.069173105</v>
      </c>
      <c r="HK212" s="429">
        <f t="shared" si="39"/>
        <v>58061606.033611111</v>
      </c>
      <c r="HL212" s="429" t="str">
        <f>IF(HM212=Reference!$I$12,(HF212-GV212),"")</f>
        <v/>
      </c>
      <c r="HM212" s="429" t="str">
        <f>Reference!I212</f>
        <v/>
      </c>
      <c r="HN212" s="429" t="str">
        <f t="shared" si="44"/>
        <v/>
      </c>
    </row>
    <row r="213" spans="189:222" ht="17.25" customHeight="1" x14ac:dyDescent="0.35">
      <c r="GG213" s="432"/>
      <c r="GJ213" s="429" t="str">
        <f>IF(GK213=$GJ$15,$GJ$15,IF(GJ$24=HF$4,SUM(GK$25:GK213),SUM(GL$25:GL213)))</f>
        <v>N</v>
      </c>
      <c r="GK213" s="438" t="str">
        <f>IFERROR('!!'!G213-'!!'!D213,$GJ$15)</f>
        <v>N</v>
      </c>
      <c r="GL213" s="429" t="str">
        <f t="shared" si="40"/>
        <v>N</v>
      </c>
      <c r="GM213" s="438">
        <f>IFERROR(('!!'!$D213)*('!!'!W213/('!!'!$G213)),0)</f>
        <v>0</v>
      </c>
      <c r="GN213" s="438">
        <f>IFERROR(('!!'!$D213)*('!!'!X213/('!!'!$G213)),0)</f>
        <v>0</v>
      </c>
      <c r="GO213" s="438">
        <f>IFERROR(('!!'!$D213)*('!!'!Y213/('!!'!$G213)),0)</f>
        <v>0</v>
      </c>
      <c r="GP213" s="438">
        <f>IFERROR(('!!'!$D213)*('!!'!Z212/('!!'!$G213)),0)</f>
        <v>0</v>
      </c>
      <c r="GQ213" s="438">
        <f>IFERROR(('!!'!$D213)*('!!'!Q213/('!!'!$G213)),0)</f>
        <v>0</v>
      </c>
      <c r="GR213" s="429">
        <v>1</v>
      </c>
      <c r="GS213" s="429">
        <v>2</v>
      </c>
      <c r="GT213" s="432">
        <f>Monitoring!C213</f>
        <v>0</v>
      </c>
      <c r="GU213" s="432">
        <f>Reference!$C213</f>
        <v>0</v>
      </c>
      <c r="GV213" s="429">
        <f>Reference!$D213</f>
        <v>0</v>
      </c>
      <c r="GW213" s="440">
        <f t="shared" si="50"/>
        <v>0</v>
      </c>
      <c r="GX213" s="440">
        <f t="shared" si="50"/>
        <v>0</v>
      </c>
      <c r="GY213" s="440">
        <f t="shared" si="50"/>
        <v>0</v>
      </c>
      <c r="GZ213" s="440">
        <f t="shared" si="50"/>
        <v>0</v>
      </c>
      <c r="HA213" s="440"/>
      <c r="HB213" s="440"/>
      <c r="HC213" s="440"/>
      <c r="HD213" s="440"/>
      <c r="HE213" s="429">
        <f t="shared" si="41"/>
        <v>189</v>
      </c>
      <c r="HF213" s="429">
        <f>SUM(GW213*Baseline!$P$24,GX213*Baseline!$P$25,GY213*Baseline!$P$26,GZ213*Baseline!$P$27,HA213*Baseline!$P$28,HB213*Baseline!$P$29,HC213*Baseline!$P$30,HD213*Baseline!$P$31,Baseline!$P$23)</f>
        <v>626.18362874044828</v>
      </c>
      <c r="HG213" s="455" t="e">
        <f t="shared" si="42"/>
        <v>#DIV/0!</v>
      </c>
      <c r="HH213" s="429" t="e">
        <f>IF(HG213&lt;=Baseline!$J$13,1,0)</f>
        <v>#DIV/0!</v>
      </c>
      <c r="HI213" s="429">
        <f t="shared" si="43"/>
        <v>392105.93690255558</v>
      </c>
      <c r="HJ213" s="429">
        <f t="shared" si="38"/>
        <v>48910903.069173105</v>
      </c>
      <c r="HK213" s="429">
        <f t="shared" si="39"/>
        <v>58061606.033611111</v>
      </c>
      <c r="HL213" s="429" t="str">
        <f>IF(HM213=Reference!$I$12,(HF213-GV213),"")</f>
        <v/>
      </c>
      <c r="HM213" s="429" t="str">
        <f>Reference!I213</f>
        <v/>
      </c>
      <c r="HN213" s="429" t="str">
        <f t="shared" si="44"/>
        <v/>
      </c>
    </row>
    <row r="214" spans="189:222" ht="17.25" customHeight="1" x14ac:dyDescent="0.35">
      <c r="GG214" s="432"/>
      <c r="GJ214" s="429" t="str">
        <f>IF(GK214=$GJ$15,$GJ$15,IF(GJ$24=HF$4,SUM(GK$25:GK214),SUM(GL$25:GL214)))</f>
        <v>N</v>
      </c>
      <c r="GK214" s="438" t="str">
        <f>IFERROR('!!'!G214-'!!'!D214,$GJ$15)</f>
        <v>N</v>
      </c>
      <c r="GL214" s="429" t="str">
        <f t="shared" si="40"/>
        <v>N</v>
      </c>
      <c r="GM214" s="438">
        <f>IFERROR(('!!'!$D214)*('!!'!W214/('!!'!$G214)),0)</f>
        <v>0</v>
      </c>
      <c r="GN214" s="438">
        <f>IFERROR(('!!'!$D214)*('!!'!X214/('!!'!$G214)),0)</f>
        <v>0</v>
      </c>
      <c r="GO214" s="438">
        <f>IFERROR(('!!'!$D214)*('!!'!Y214/('!!'!$G214)),0)</f>
        <v>0</v>
      </c>
      <c r="GP214" s="438">
        <f>IFERROR(('!!'!$D214)*('!!'!Z213/('!!'!$G214)),0)</f>
        <v>0</v>
      </c>
      <c r="GQ214" s="438">
        <f>IFERROR(('!!'!$D214)*('!!'!Q214/('!!'!$G214)),0)</f>
        <v>0</v>
      </c>
      <c r="GR214" s="429">
        <v>1</v>
      </c>
      <c r="GS214" s="429">
        <v>2</v>
      </c>
      <c r="GT214" s="432">
        <f>Monitoring!C214</f>
        <v>0</v>
      </c>
      <c r="GU214" s="432">
        <f>Reference!$C214</f>
        <v>0</v>
      </c>
      <c r="GV214" s="429">
        <f>Reference!$D214</f>
        <v>0</v>
      </c>
      <c r="GW214" s="440">
        <f t="shared" si="50"/>
        <v>0</v>
      </c>
      <c r="GX214" s="440">
        <f t="shared" si="50"/>
        <v>0</v>
      </c>
      <c r="GY214" s="440">
        <f t="shared" si="50"/>
        <v>0</v>
      </c>
      <c r="GZ214" s="440">
        <f t="shared" si="50"/>
        <v>0</v>
      </c>
      <c r="HA214" s="440"/>
      <c r="HB214" s="440"/>
      <c r="HC214" s="440"/>
      <c r="HD214" s="440"/>
      <c r="HE214" s="429">
        <f t="shared" si="41"/>
        <v>190</v>
      </c>
      <c r="HF214" s="429">
        <f>SUM(GW214*Baseline!$P$24,GX214*Baseline!$P$25,GY214*Baseline!$P$26,GZ214*Baseline!$P$27,HA214*Baseline!$P$28,HB214*Baseline!$P$29,HC214*Baseline!$P$30,HD214*Baseline!$P$31,Baseline!$P$23)</f>
        <v>626.18362874044828</v>
      </c>
      <c r="HG214" s="455" t="e">
        <f t="shared" si="42"/>
        <v>#DIV/0!</v>
      </c>
      <c r="HH214" s="429" t="e">
        <f>IF(HG214&lt;=Baseline!$J$13,1,0)</f>
        <v>#DIV/0!</v>
      </c>
      <c r="HI214" s="429">
        <f t="shared" si="43"/>
        <v>392105.93690255558</v>
      </c>
      <c r="HJ214" s="429">
        <f t="shared" si="38"/>
        <v>48910903.069173105</v>
      </c>
      <c r="HK214" s="429">
        <f t="shared" si="39"/>
        <v>58061606.033611111</v>
      </c>
      <c r="HL214" s="429" t="str">
        <f>IF(HM214=Reference!$I$12,(HF214-GV214),"")</f>
        <v/>
      </c>
      <c r="HM214" s="429" t="str">
        <f>Reference!I214</f>
        <v/>
      </c>
      <c r="HN214" s="429" t="str">
        <f t="shared" si="44"/>
        <v/>
      </c>
    </row>
    <row r="215" spans="189:222" ht="17.25" customHeight="1" x14ac:dyDescent="0.35">
      <c r="GG215" s="432"/>
      <c r="GJ215" s="429" t="str">
        <f>IF(GK215=$GJ$15,$GJ$15,IF(GJ$24=HF$4,SUM(GK$25:GK215),SUM(GL$25:GL215)))</f>
        <v>N</v>
      </c>
      <c r="GK215" s="438" t="str">
        <f>IFERROR('!!'!G215-'!!'!D215,$GJ$15)</f>
        <v>N</v>
      </c>
      <c r="GL215" s="429" t="str">
        <f t="shared" si="40"/>
        <v>N</v>
      </c>
      <c r="GM215" s="438">
        <f>IFERROR(('!!'!$D215)*('!!'!W215/('!!'!$G215)),0)</f>
        <v>0</v>
      </c>
      <c r="GN215" s="438">
        <f>IFERROR(('!!'!$D215)*('!!'!X215/('!!'!$G215)),0)</f>
        <v>0</v>
      </c>
      <c r="GO215" s="438">
        <f>IFERROR(('!!'!$D215)*('!!'!Y215/('!!'!$G215)),0)</f>
        <v>0</v>
      </c>
      <c r="GP215" s="438">
        <f>IFERROR(('!!'!$D215)*('!!'!Z214/('!!'!$G215)),0)</f>
        <v>0</v>
      </c>
      <c r="GQ215" s="438">
        <f>IFERROR(('!!'!$D215)*('!!'!Q215/('!!'!$G215)),0)</f>
        <v>0</v>
      </c>
      <c r="GR215" s="429">
        <v>1</v>
      </c>
      <c r="GS215" s="429">
        <v>2</v>
      </c>
      <c r="GT215" s="432">
        <f>Monitoring!C215</f>
        <v>0</v>
      </c>
      <c r="GU215" s="432">
        <f>Reference!$C215</f>
        <v>0</v>
      </c>
      <c r="GV215" s="429">
        <f>Reference!$D215</f>
        <v>0</v>
      </c>
      <c r="GW215" s="440">
        <f t="shared" ref="GW215:GZ224" si="51">IFERROR(VLOOKUP($GU215,Daten.B,GW$22,FALSE)^GW$23,0)</f>
        <v>0</v>
      </c>
      <c r="GX215" s="440">
        <f t="shared" si="51"/>
        <v>0</v>
      </c>
      <c r="GY215" s="440">
        <f t="shared" si="51"/>
        <v>0</v>
      </c>
      <c r="GZ215" s="440">
        <f t="shared" si="51"/>
        <v>0</v>
      </c>
      <c r="HA215" s="440"/>
      <c r="HB215" s="440"/>
      <c r="HC215" s="440"/>
      <c r="HD215" s="440"/>
      <c r="HE215" s="429">
        <f t="shared" si="41"/>
        <v>191</v>
      </c>
      <c r="HF215" s="429">
        <f>SUM(GW215*Baseline!$P$24,GX215*Baseline!$P$25,GY215*Baseline!$P$26,GZ215*Baseline!$P$27,HA215*Baseline!$P$28,HB215*Baseline!$P$29,HC215*Baseline!$P$30,HD215*Baseline!$P$31,Baseline!$P$23)</f>
        <v>626.18362874044828</v>
      </c>
      <c r="HG215" s="455" t="e">
        <f t="shared" si="42"/>
        <v>#DIV/0!</v>
      </c>
      <c r="HH215" s="429" t="e">
        <f>IF(HG215&lt;=Baseline!$J$13,1,0)</f>
        <v>#DIV/0!</v>
      </c>
      <c r="HI215" s="429">
        <f t="shared" si="43"/>
        <v>392105.93690255558</v>
      </c>
      <c r="HJ215" s="429">
        <f t="shared" si="38"/>
        <v>48910903.069173105</v>
      </c>
      <c r="HK215" s="429">
        <f t="shared" si="39"/>
        <v>58061606.033611111</v>
      </c>
      <c r="HL215" s="429" t="str">
        <f>IF(HM215=Reference!$I$12,(HF215-GV215),"")</f>
        <v/>
      </c>
      <c r="HM215" s="429" t="str">
        <f>Reference!I215</f>
        <v/>
      </c>
      <c r="HN215" s="429" t="str">
        <f t="shared" si="44"/>
        <v/>
      </c>
    </row>
    <row r="216" spans="189:222" ht="17.25" customHeight="1" x14ac:dyDescent="0.35">
      <c r="GG216" s="432"/>
      <c r="GJ216" s="429" t="str">
        <f>IF(GK216=$GJ$15,$GJ$15,IF(GJ$24=HF$4,SUM(GK$25:GK216),SUM(GL$25:GL216)))</f>
        <v>N</v>
      </c>
      <c r="GK216" s="438" t="str">
        <f>IFERROR('!!'!G216-'!!'!D216,$GJ$15)</f>
        <v>N</v>
      </c>
      <c r="GL216" s="429" t="str">
        <f t="shared" si="40"/>
        <v>N</v>
      </c>
      <c r="GM216" s="438">
        <f>IFERROR(('!!'!$D216)*('!!'!W216/('!!'!$G216)),0)</f>
        <v>0</v>
      </c>
      <c r="GN216" s="438">
        <f>IFERROR(('!!'!$D216)*('!!'!X216/('!!'!$G216)),0)</f>
        <v>0</v>
      </c>
      <c r="GO216" s="438">
        <f>IFERROR(('!!'!$D216)*('!!'!Y216/('!!'!$G216)),0)</f>
        <v>0</v>
      </c>
      <c r="GP216" s="438">
        <f>IFERROR(('!!'!$D216)*('!!'!Z215/('!!'!$G216)),0)</f>
        <v>0</v>
      </c>
      <c r="GQ216" s="438">
        <f>IFERROR(('!!'!$D216)*('!!'!Q216/('!!'!$G216)),0)</f>
        <v>0</v>
      </c>
      <c r="GR216" s="429">
        <v>1</v>
      </c>
      <c r="GS216" s="429">
        <v>2</v>
      </c>
      <c r="GT216" s="432">
        <f>Monitoring!C216</f>
        <v>0</v>
      </c>
      <c r="GU216" s="432">
        <f>Reference!$C216</f>
        <v>0</v>
      </c>
      <c r="GV216" s="429">
        <f>Reference!$D216</f>
        <v>0</v>
      </c>
      <c r="GW216" s="440">
        <f t="shared" si="51"/>
        <v>0</v>
      </c>
      <c r="GX216" s="440">
        <f t="shared" si="51"/>
        <v>0</v>
      </c>
      <c r="GY216" s="440">
        <f t="shared" si="51"/>
        <v>0</v>
      </c>
      <c r="GZ216" s="440">
        <f t="shared" si="51"/>
        <v>0</v>
      </c>
      <c r="HA216" s="440"/>
      <c r="HB216" s="440"/>
      <c r="HC216" s="440"/>
      <c r="HD216" s="440"/>
      <c r="HE216" s="429">
        <f t="shared" si="41"/>
        <v>192</v>
      </c>
      <c r="HF216" s="429">
        <f>SUM(GW216*Baseline!$P$24,GX216*Baseline!$P$25,GY216*Baseline!$P$26,GZ216*Baseline!$P$27,HA216*Baseline!$P$28,HB216*Baseline!$P$29,HC216*Baseline!$P$30,HD216*Baseline!$P$31,Baseline!$P$23)</f>
        <v>626.18362874044828</v>
      </c>
      <c r="HG216" s="455" t="e">
        <f t="shared" si="42"/>
        <v>#DIV/0!</v>
      </c>
      <c r="HH216" s="429" t="e">
        <f>IF(HG216&lt;=Baseline!$J$13,1,0)</f>
        <v>#DIV/0!</v>
      </c>
      <c r="HI216" s="429">
        <f t="shared" si="43"/>
        <v>392105.93690255558</v>
      </c>
      <c r="HJ216" s="429">
        <f t="shared" si="38"/>
        <v>48910903.069173105</v>
      </c>
      <c r="HK216" s="429">
        <f t="shared" si="39"/>
        <v>58061606.033611111</v>
      </c>
      <c r="HL216" s="429" t="str">
        <f>IF(HM216=Reference!$I$12,(HF216-GV216),"")</f>
        <v/>
      </c>
      <c r="HM216" s="429" t="str">
        <f>Reference!I216</f>
        <v/>
      </c>
      <c r="HN216" s="429" t="str">
        <f t="shared" si="44"/>
        <v/>
      </c>
    </row>
    <row r="217" spans="189:222" ht="17.25" customHeight="1" x14ac:dyDescent="0.35">
      <c r="GG217" s="432"/>
      <c r="GJ217" s="429" t="str">
        <f>IF(GK217=$GJ$15,$GJ$15,IF(GJ$24=HF$4,SUM(GK$25:GK217),SUM(GL$25:GL217)))</f>
        <v>N</v>
      </c>
      <c r="GK217" s="438" t="str">
        <f>IFERROR('!!'!G217-'!!'!D217,$GJ$15)</f>
        <v>N</v>
      </c>
      <c r="GL217" s="429" t="str">
        <f t="shared" si="40"/>
        <v>N</v>
      </c>
      <c r="GM217" s="438">
        <f>IFERROR(('!!'!$D217)*('!!'!W217/('!!'!$G217)),0)</f>
        <v>0</v>
      </c>
      <c r="GN217" s="438">
        <f>IFERROR(('!!'!$D217)*('!!'!X217/('!!'!$G217)),0)</f>
        <v>0</v>
      </c>
      <c r="GO217" s="438">
        <f>IFERROR(('!!'!$D217)*('!!'!Y217/('!!'!$G217)),0)</f>
        <v>0</v>
      </c>
      <c r="GP217" s="438">
        <f>IFERROR(('!!'!$D217)*('!!'!Z216/('!!'!$G217)),0)</f>
        <v>0</v>
      </c>
      <c r="GQ217" s="438">
        <f>IFERROR(('!!'!$D217)*('!!'!Q217/('!!'!$G217)),0)</f>
        <v>0</v>
      </c>
      <c r="GR217" s="429">
        <v>1</v>
      </c>
      <c r="GS217" s="429">
        <v>2</v>
      </c>
      <c r="GT217" s="432">
        <f>Monitoring!C217</f>
        <v>0</v>
      </c>
      <c r="GU217" s="432">
        <f>Reference!$C217</f>
        <v>0</v>
      </c>
      <c r="GV217" s="429">
        <f>Reference!$D217</f>
        <v>0</v>
      </c>
      <c r="GW217" s="440">
        <f t="shared" si="51"/>
        <v>0</v>
      </c>
      <c r="GX217" s="440">
        <f t="shared" si="51"/>
        <v>0</v>
      </c>
      <c r="GY217" s="440">
        <f t="shared" si="51"/>
        <v>0</v>
      </c>
      <c r="GZ217" s="440">
        <f t="shared" si="51"/>
        <v>0</v>
      </c>
      <c r="HA217" s="440"/>
      <c r="HB217" s="440"/>
      <c r="HC217" s="440"/>
      <c r="HD217" s="440"/>
      <c r="HE217" s="429">
        <f t="shared" si="41"/>
        <v>193</v>
      </c>
      <c r="HF217" s="429">
        <f>SUM(GW217*Baseline!$P$24,GX217*Baseline!$P$25,GY217*Baseline!$P$26,GZ217*Baseline!$P$27,HA217*Baseline!$P$28,HB217*Baseline!$P$29,HC217*Baseline!$P$30,HD217*Baseline!$P$31,Baseline!$P$23)</f>
        <v>626.18362874044828</v>
      </c>
      <c r="HG217" s="455" t="e">
        <f t="shared" si="42"/>
        <v>#DIV/0!</v>
      </c>
      <c r="HH217" s="429" t="e">
        <f>IF(HG217&lt;=Baseline!$J$13,1,0)</f>
        <v>#DIV/0!</v>
      </c>
      <c r="HI217" s="429">
        <f t="shared" si="43"/>
        <v>392105.93690255558</v>
      </c>
      <c r="HJ217" s="429">
        <f t="shared" ref="HJ217:HJ280" si="52">(HF217-$HG$17)^2</f>
        <v>48910903.069173105</v>
      </c>
      <c r="HK217" s="429">
        <f t="shared" ref="HK217:HK280" si="53">(GV217-$HG$17)^2</f>
        <v>58061606.033611111</v>
      </c>
      <c r="HL217" s="429" t="str">
        <f>IF(HM217=Reference!$I$12,(HF217-GV217),"")</f>
        <v/>
      </c>
      <c r="HM217" s="429" t="str">
        <f>Reference!I217</f>
        <v/>
      </c>
      <c r="HN217" s="429" t="str">
        <f t="shared" si="44"/>
        <v/>
      </c>
    </row>
    <row r="218" spans="189:222" ht="17.25" customHeight="1" x14ac:dyDescent="0.35">
      <c r="GG218" s="432"/>
      <c r="GJ218" s="429" t="str">
        <f>IF(GK218=$GJ$15,$GJ$15,IF(GJ$24=HF$4,SUM(GK$25:GK218),SUM(GL$25:GL218)))</f>
        <v>N</v>
      </c>
      <c r="GK218" s="438" t="str">
        <f>IFERROR('!!'!G218-'!!'!D218,$GJ$15)</f>
        <v>N</v>
      </c>
      <c r="GL218" s="429" t="str">
        <f t="shared" ref="GL218:GL281" si="54">IFERROR(GK218^2^(1/2),"N")</f>
        <v>N</v>
      </c>
      <c r="GM218" s="438">
        <f>IFERROR(('!!'!$D218)*('!!'!W218/('!!'!$G218)),0)</f>
        <v>0</v>
      </c>
      <c r="GN218" s="438">
        <f>IFERROR(('!!'!$D218)*('!!'!X218/('!!'!$G218)),0)</f>
        <v>0</v>
      </c>
      <c r="GO218" s="438">
        <f>IFERROR(('!!'!$D218)*('!!'!Y218/('!!'!$G218)),0)</f>
        <v>0</v>
      </c>
      <c r="GP218" s="438">
        <f>IFERROR(('!!'!$D218)*('!!'!Z217/('!!'!$G218)),0)</f>
        <v>0</v>
      </c>
      <c r="GQ218" s="438">
        <f>IFERROR(('!!'!$D218)*('!!'!Q218/('!!'!$G218)),0)</f>
        <v>0</v>
      </c>
      <c r="GR218" s="429">
        <v>1</v>
      </c>
      <c r="GS218" s="429">
        <v>2</v>
      </c>
      <c r="GT218" s="432">
        <f>Monitoring!C218</f>
        <v>0</v>
      </c>
      <c r="GU218" s="432">
        <f>Reference!$C218</f>
        <v>0</v>
      </c>
      <c r="GV218" s="429">
        <f>Reference!$D218</f>
        <v>0</v>
      </c>
      <c r="GW218" s="440">
        <f t="shared" si="51"/>
        <v>0</v>
      </c>
      <c r="GX218" s="440">
        <f t="shared" si="51"/>
        <v>0</v>
      </c>
      <c r="GY218" s="440">
        <f t="shared" si="51"/>
        <v>0</v>
      </c>
      <c r="GZ218" s="440">
        <f t="shared" si="51"/>
        <v>0</v>
      </c>
      <c r="HA218" s="440"/>
      <c r="HB218" s="440"/>
      <c r="HC218" s="440"/>
      <c r="HD218" s="440"/>
      <c r="HE218" s="429">
        <f t="shared" ref="HE218:HE281" si="55">ROW(HE218)-$HE$24</f>
        <v>194</v>
      </c>
      <c r="HF218" s="429">
        <f>SUM(GW218*Baseline!$P$24,GX218*Baseline!$P$25,GY218*Baseline!$P$26,GZ218*Baseline!$P$27,HA218*Baseline!$P$28,HB218*Baseline!$P$29,HC218*Baseline!$P$30,HD218*Baseline!$P$31,Baseline!$P$23)</f>
        <v>626.18362874044828</v>
      </c>
      <c r="HG218" s="455" t="e">
        <f t="shared" ref="HG218:HG281" si="56">IF(HF218=0,#N/A,ABS((GV218-HF218)/GV218))</f>
        <v>#DIV/0!</v>
      </c>
      <c r="HH218" s="429" t="e">
        <f>IF(HG218&lt;=Baseline!$J$13,1,0)</f>
        <v>#DIV/0!</v>
      </c>
      <c r="HI218" s="429">
        <f t="shared" ref="HI218:HI281" si="57">(GV218-HF218)^2</f>
        <v>392105.93690255558</v>
      </c>
      <c r="HJ218" s="429">
        <f t="shared" si="52"/>
        <v>48910903.069173105</v>
      </c>
      <c r="HK218" s="429">
        <f t="shared" si="53"/>
        <v>58061606.033611111</v>
      </c>
      <c r="HL218" s="429" t="str">
        <f>IF(HM218=Reference!$I$12,(HF218-GV218),"")</f>
        <v/>
      </c>
      <c r="HM218" s="429" t="str">
        <f>Reference!I218</f>
        <v/>
      </c>
      <c r="HN218" s="429" t="str">
        <f t="shared" ref="HN218:HN281" si="58">IFERROR(HL218-0.00001*$HQ$20,"")</f>
        <v/>
      </c>
    </row>
    <row r="219" spans="189:222" ht="17.25" customHeight="1" x14ac:dyDescent="0.35">
      <c r="GG219" s="432"/>
      <c r="GJ219" s="429" t="str">
        <f>IF(GK219=$GJ$15,$GJ$15,IF(GJ$24=HF$4,SUM(GK$25:GK219),SUM(GL$25:GL219)))</f>
        <v>N</v>
      </c>
      <c r="GK219" s="438" t="str">
        <f>IFERROR('!!'!G219-'!!'!D219,$GJ$15)</f>
        <v>N</v>
      </c>
      <c r="GL219" s="429" t="str">
        <f t="shared" si="54"/>
        <v>N</v>
      </c>
      <c r="GM219" s="438">
        <f>IFERROR(('!!'!$D219)*('!!'!W219/('!!'!$G219)),0)</f>
        <v>0</v>
      </c>
      <c r="GN219" s="438">
        <f>IFERROR(('!!'!$D219)*('!!'!X219/('!!'!$G219)),0)</f>
        <v>0</v>
      </c>
      <c r="GO219" s="438">
        <f>IFERROR(('!!'!$D219)*('!!'!Y219/('!!'!$G219)),0)</f>
        <v>0</v>
      </c>
      <c r="GP219" s="438">
        <f>IFERROR(('!!'!$D219)*('!!'!Z218/('!!'!$G219)),0)</f>
        <v>0</v>
      </c>
      <c r="GQ219" s="438">
        <f>IFERROR(('!!'!$D219)*('!!'!Q219/('!!'!$G219)),0)</f>
        <v>0</v>
      </c>
      <c r="GR219" s="429">
        <v>1</v>
      </c>
      <c r="GS219" s="429">
        <v>2</v>
      </c>
      <c r="GT219" s="432">
        <f>Monitoring!C219</f>
        <v>0</v>
      </c>
      <c r="GU219" s="432">
        <f>Reference!$C219</f>
        <v>0</v>
      </c>
      <c r="GV219" s="429">
        <f>Reference!$D219</f>
        <v>0</v>
      </c>
      <c r="GW219" s="440">
        <f t="shared" si="51"/>
        <v>0</v>
      </c>
      <c r="GX219" s="440">
        <f t="shared" si="51"/>
        <v>0</v>
      </c>
      <c r="GY219" s="440">
        <f t="shared" si="51"/>
        <v>0</v>
      </c>
      <c r="GZ219" s="440">
        <f t="shared" si="51"/>
        <v>0</v>
      </c>
      <c r="HA219" s="440"/>
      <c r="HB219" s="440"/>
      <c r="HC219" s="440"/>
      <c r="HD219" s="440"/>
      <c r="HE219" s="429">
        <f t="shared" si="55"/>
        <v>195</v>
      </c>
      <c r="HF219" s="429">
        <f>SUM(GW219*Baseline!$P$24,GX219*Baseline!$P$25,GY219*Baseline!$P$26,GZ219*Baseline!$P$27,HA219*Baseline!$P$28,HB219*Baseline!$P$29,HC219*Baseline!$P$30,HD219*Baseline!$P$31,Baseline!$P$23)</f>
        <v>626.18362874044828</v>
      </c>
      <c r="HG219" s="455" t="e">
        <f t="shared" si="56"/>
        <v>#DIV/0!</v>
      </c>
      <c r="HH219" s="429" t="e">
        <f>IF(HG219&lt;=Baseline!$J$13,1,0)</f>
        <v>#DIV/0!</v>
      </c>
      <c r="HI219" s="429">
        <f t="shared" si="57"/>
        <v>392105.93690255558</v>
      </c>
      <c r="HJ219" s="429">
        <f t="shared" si="52"/>
        <v>48910903.069173105</v>
      </c>
      <c r="HK219" s="429">
        <f t="shared" si="53"/>
        <v>58061606.033611111</v>
      </c>
      <c r="HL219" s="429" t="str">
        <f>IF(HM219=Reference!$I$12,(HF219-GV219),"")</f>
        <v/>
      </c>
      <c r="HM219" s="429" t="str">
        <f>Reference!I219</f>
        <v/>
      </c>
      <c r="HN219" s="429" t="str">
        <f t="shared" si="58"/>
        <v/>
      </c>
    </row>
    <row r="220" spans="189:222" ht="17.25" customHeight="1" x14ac:dyDescent="0.35">
      <c r="GG220" s="432"/>
      <c r="GJ220" s="429" t="str">
        <f>IF(GK220=$GJ$15,$GJ$15,IF(GJ$24=HF$4,SUM(GK$25:GK220),SUM(GL$25:GL220)))</f>
        <v>N</v>
      </c>
      <c r="GK220" s="438" t="str">
        <f>IFERROR('!!'!G220-'!!'!D220,$GJ$15)</f>
        <v>N</v>
      </c>
      <c r="GL220" s="429" t="str">
        <f t="shared" si="54"/>
        <v>N</v>
      </c>
      <c r="GM220" s="438">
        <f>IFERROR(('!!'!$D220)*('!!'!W220/('!!'!$G220)),0)</f>
        <v>0</v>
      </c>
      <c r="GN220" s="438">
        <f>IFERROR(('!!'!$D220)*('!!'!X220/('!!'!$G220)),0)</f>
        <v>0</v>
      </c>
      <c r="GO220" s="438">
        <f>IFERROR(('!!'!$D220)*('!!'!Y220/('!!'!$G220)),0)</f>
        <v>0</v>
      </c>
      <c r="GP220" s="438">
        <f>IFERROR(('!!'!$D220)*('!!'!Z219/('!!'!$G220)),0)</f>
        <v>0</v>
      </c>
      <c r="GQ220" s="438">
        <f>IFERROR(('!!'!$D220)*('!!'!Q220/('!!'!$G220)),0)</f>
        <v>0</v>
      </c>
      <c r="GR220" s="429">
        <v>1</v>
      </c>
      <c r="GS220" s="429">
        <v>2</v>
      </c>
      <c r="GT220" s="432">
        <f>Monitoring!C220</f>
        <v>0</v>
      </c>
      <c r="GU220" s="432">
        <f>Reference!$C220</f>
        <v>0</v>
      </c>
      <c r="GV220" s="429">
        <f>Reference!$D220</f>
        <v>0</v>
      </c>
      <c r="GW220" s="440">
        <f t="shared" si="51"/>
        <v>0</v>
      </c>
      <c r="GX220" s="440">
        <f t="shared" si="51"/>
        <v>0</v>
      </c>
      <c r="GY220" s="440">
        <f t="shared" si="51"/>
        <v>0</v>
      </c>
      <c r="GZ220" s="440">
        <f t="shared" si="51"/>
        <v>0</v>
      </c>
      <c r="HA220" s="440"/>
      <c r="HB220" s="440"/>
      <c r="HC220" s="440"/>
      <c r="HD220" s="440"/>
      <c r="HE220" s="429">
        <f t="shared" si="55"/>
        <v>196</v>
      </c>
      <c r="HF220" s="429">
        <f>SUM(GW220*Baseline!$P$24,GX220*Baseline!$P$25,GY220*Baseline!$P$26,GZ220*Baseline!$P$27,HA220*Baseline!$P$28,HB220*Baseline!$P$29,HC220*Baseline!$P$30,HD220*Baseline!$P$31,Baseline!$P$23)</f>
        <v>626.18362874044828</v>
      </c>
      <c r="HG220" s="455" t="e">
        <f t="shared" si="56"/>
        <v>#DIV/0!</v>
      </c>
      <c r="HH220" s="429" t="e">
        <f>IF(HG220&lt;=Baseline!$J$13,1,0)</f>
        <v>#DIV/0!</v>
      </c>
      <c r="HI220" s="429">
        <f t="shared" si="57"/>
        <v>392105.93690255558</v>
      </c>
      <c r="HJ220" s="429">
        <f t="shared" si="52"/>
        <v>48910903.069173105</v>
      </c>
      <c r="HK220" s="429">
        <f t="shared" si="53"/>
        <v>58061606.033611111</v>
      </c>
      <c r="HL220" s="429" t="str">
        <f>IF(HM220=Reference!$I$12,(HF220-GV220),"")</f>
        <v/>
      </c>
      <c r="HM220" s="429" t="str">
        <f>Reference!I220</f>
        <v/>
      </c>
      <c r="HN220" s="429" t="str">
        <f t="shared" si="58"/>
        <v/>
      </c>
    </row>
    <row r="221" spans="189:222" ht="17.25" customHeight="1" x14ac:dyDescent="0.35">
      <c r="GG221" s="432"/>
      <c r="GJ221" s="429" t="str">
        <f>IF(GK221=$GJ$15,$GJ$15,IF(GJ$24=HF$4,SUM(GK$25:GK221),SUM(GL$25:GL221)))</f>
        <v>N</v>
      </c>
      <c r="GK221" s="438" t="str">
        <f>IFERROR('!!'!G221-'!!'!D221,$GJ$15)</f>
        <v>N</v>
      </c>
      <c r="GL221" s="429" t="str">
        <f t="shared" si="54"/>
        <v>N</v>
      </c>
      <c r="GM221" s="438">
        <f>IFERROR(('!!'!$D221)*('!!'!W221/('!!'!$G221)),0)</f>
        <v>0</v>
      </c>
      <c r="GN221" s="438">
        <f>IFERROR(('!!'!$D221)*('!!'!X221/('!!'!$G221)),0)</f>
        <v>0</v>
      </c>
      <c r="GO221" s="438">
        <f>IFERROR(('!!'!$D221)*('!!'!Y221/('!!'!$G221)),0)</f>
        <v>0</v>
      </c>
      <c r="GP221" s="438">
        <f>IFERROR(('!!'!$D221)*('!!'!Z220/('!!'!$G221)),0)</f>
        <v>0</v>
      </c>
      <c r="GQ221" s="438">
        <f>IFERROR(('!!'!$D221)*('!!'!Q221/('!!'!$G221)),0)</f>
        <v>0</v>
      </c>
      <c r="GR221" s="429">
        <v>1</v>
      </c>
      <c r="GS221" s="429">
        <v>2</v>
      </c>
      <c r="GT221" s="432">
        <f>Monitoring!C221</f>
        <v>0</v>
      </c>
      <c r="GU221" s="432">
        <f>Reference!$C221</f>
        <v>0</v>
      </c>
      <c r="GV221" s="429">
        <f>Reference!$D221</f>
        <v>0</v>
      </c>
      <c r="GW221" s="440">
        <f t="shared" si="51"/>
        <v>0</v>
      </c>
      <c r="GX221" s="440">
        <f t="shared" si="51"/>
        <v>0</v>
      </c>
      <c r="GY221" s="440">
        <f t="shared" si="51"/>
        <v>0</v>
      </c>
      <c r="GZ221" s="440">
        <f t="shared" si="51"/>
        <v>0</v>
      </c>
      <c r="HA221" s="440"/>
      <c r="HB221" s="440"/>
      <c r="HC221" s="440"/>
      <c r="HD221" s="440"/>
      <c r="HE221" s="429">
        <f t="shared" si="55"/>
        <v>197</v>
      </c>
      <c r="HF221" s="429">
        <f>SUM(GW221*Baseline!$P$24,GX221*Baseline!$P$25,GY221*Baseline!$P$26,GZ221*Baseline!$P$27,HA221*Baseline!$P$28,HB221*Baseline!$P$29,HC221*Baseline!$P$30,HD221*Baseline!$P$31,Baseline!$P$23)</f>
        <v>626.18362874044828</v>
      </c>
      <c r="HG221" s="455" t="e">
        <f t="shared" si="56"/>
        <v>#DIV/0!</v>
      </c>
      <c r="HH221" s="429" t="e">
        <f>IF(HG221&lt;=Baseline!$J$13,1,0)</f>
        <v>#DIV/0!</v>
      </c>
      <c r="HI221" s="429">
        <f t="shared" si="57"/>
        <v>392105.93690255558</v>
      </c>
      <c r="HJ221" s="429">
        <f t="shared" si="52"/>
        <v>48910903.069173105</v>
      </c>
      <c r="HK221" s="429">
        <f t="shared" si="53"/>
        <v>58061606.033611111</v>
      </c>
      <c r="HL221" s="429" t="str">
        <f>IF(HM221=Reference!$I$12,(HF221-GV221),"")</f>
        <v/>
      </c>
      <c r="HM221" s="429" t="str">
        <f>Reference!I221</f>
        <v/>
      </c>
      <c r="HN221" s="429" t="str">
        <f t="shared" si="58"/>
        <v/>
      </c>
    </row>
    <row r="222" spans="189:222" ht="17.25" customHeight="1" x14ac:dyDescent="0.35">
      <c r="GG222" s="432"/>
      <c r="GJ222" s="429" t="str">
        <f>IF(GK222=$GJ$15,$GJ$15,IF(GJ$24=HF$4,SUM(GK$25:GK222),SUM(GL$25:GL222)))</f>
        <v>N</v>
      </c>
      <c r="GK222" s="438" t="str">
        <f>IFERROR('!!'!G222-'!!'!D222,$GJ$15)</f>
        <v>N</v>
      </c>
      <c r="GL222" s="429" t="str">
        <f t="shared" si="54"/>
        <v>N</v>
      </c>
      <c r="GM222" s="438">
        <f>IFERROR(('!!'!$D222)*('!!'!W222/('!!'!$G222)),0)</f>
        <v>0</v>
      </c>
      <c r="GN222" s="438">
        <f>IFERROR(('!!'!$D222)*('!!'!X222/('!!'!$G222)),0)</f>
        <v>0</v>
      </c>
      <c r="GO222" s="438">
        <f>IFERROR(('!!'!$D222)*('!!'!Y222/('!!'!$G222)),0)</f>
        <v>0</v>
      </c>
      <c r="GP222" s="438">
        <f>IFERROR(('!!'!$D222)*('!!'!Z221/('!!'!$G222)),0)</f>
        <v>0</v>
      </c>
      <c r="GQ222" s="438">
        <f>IFERROR(('!!'!$D222)*('!!'!Q222/('!!'!$G222)),0)</f>
        <v>0</v>
      </c>
      <c r="GR222" s="429">
        <v>1</v>
      </c>
      <c r="GS222" s="429">
        <v>2</v>
      </c>
      <c r="GT222" s="432">
        <f>Monitoring!C222</f>
        <v>0</v>
      </c>
      <c r="GU222" s="432">
        <f>Reference!$C222</f>
        <v>0</v>
      </c>
      <c r="GV222" s="429">
        <f>Reference!$D222</f>
        <v>0</v>
      </c>
      <c r="GW222" s="440">
        <f t="shared" si="51"/>
        <v>0</v>
      </c>
      <c r="GX222" s="440">
        <f t="shared" si="51"/>
        <v>0</v>
      </c>
      <c r="GY222" s="440">
        <f t="shared" si="51"/>
        <v>0</v>
      </c>
      <c r="GZ222" s="440">
        <f t="shared" si="51"/>
        <v>0</v>
      </c>
      <c r="HA222" s="440"/>
      <c r="HB222" s="440"/>
      <c r="HC222" s="440"/>
      <c r="HD222" s="440"/>
      <c r="HE222" s="429">
        <f t="shared" si="55"/>
        <v>198</v>
      </c>
      <c r="HF222" s="429">
        <f>SUM(GW222*Baseline!$P$24,GX222*Baseline!$P$25,GY222*Baseline!$P$26,GZ222*Baseline!$P$27,HA222*Baseline!$P$28,HB222*Baseline!$P$29,HC222*Baseline!$P$30,HD222*Baseline!$P$31,Baseline!$P$23)</f>
        <v>626.18362874044828</v>
      </c>
      <c r="HG222" s="455" t="e">
        <f t="shared" si="56"/>
        <v>#DIV/0!</v>
      </c>
      <c r="HH222" s="429" t="e">
        <f>IF(HG222&lt;=Baseline!$J$13,1,0)</f>
        <v>#DIV/0!</v>
      </c>
      <c r="HI222" s="429">
        <f t="shared" si="57"/>
        <v>392105.93690255558</v>
      </c>
      <c r="HJ222" s="429">
        <f t="shared" si="52"/>
        <v>48910903.069173105</v>
      </c>
      <c r="HK222" s="429">
        <f t="shared" si="53"/>
        <v>58061606.033611111</v>
      </c>
      <c r="HL222" s="429" t="str">
        <f>IF(HM222=Reference!$I$12,(HF222-GV222),"")</f>
        <v/>
      </c>
      <c r="HM222" s="429" t="str">
        <f>Reference!I222</f>
        <v/>
      </c>
      <c r="HN222" s="429" t="str">
        <f t="shared" si="58"/>
        <v/>
      </c>
    </row>
    <row r="223" spans="189:222" ht="17.25" customHeight="1" x14ac:dyDescent="0.35">
      <c r="GG223" s="432"/>
      <c r="GJ223" s="429" t="str">
        <f>IF(GK223=$GJ$15,$GJ$15,IF(GJ$24=HF$4,SUM(GK$25:GK223),SUM(GL$25:GL223)))</f>
        <v>N</v>
      </c>
      <c r="GK223" s="438" t="str">
        <f>IFERROR('!!'!G223-'!!'!D223,$GJ$15)</f>
        <v>N</v>
      </c>
      <c r="GL223" s="429" t="str">
        <f t="shared" si="54"/>
        <v>N</v>
      </c>
      <c r="GM223" s="438">
        <f>IFERROR(('!!'!$D223)*('!!'!W223/('!!'!$G223)),0)</f>
        <v>0</v>
      </c>
      <c r="GN223" s="438">
        <f>IFERROR(('!!'!$D223)*('!!'!X223/('!!'!$G223)),0)</f>
        <v>0</v>
      </c>
      <c r="GO223" s="438">
        <f>IFERROR(('!!'!$D223)*('!!'!Y223/('!!'!$G223)),0)</f>
        <v>0</v>
      </c>
      <c r="GP223" s="438">
        <f>IFERROR(('!!'!$D223)*('!!'!Z222/('!!'!$G223)),0)</f>
        <v>0</v>
      </c>
      <c r="GQ223" s="438">
        <f>IFERROR(('!!'!$D223)*('!!'!Q223/('!!'!$G223)),0)</f>
        <v>0</v>
      </c>
      <c r="GR223" s="429">
        <v>1</v>
      </c>
      <c r="GS223" s="429">
        <v>2</v>
      </c>
      <c r="GT223" s="432">
        <f>Monitoring!C223</f>
        <v>0</v>
      </c>
      <c r="GU223" s="432">
        <f>Reference!$C223</f>
        <v>0</v>
      </c>
      <c r="GV223" s="429">
        <f>Reference!$D223</f>
        <v>0</v>
      </c>
      <c r="GW223" s="440">
        <f t="shared" si="51"/>
        <v>0</v>
      </c>
      <c r="GX223" s="440">
        <f t="shared" si="51"/>
        <v>0</v>
      </c>
      <c r="GY223" s="440">
        <f t="shared" si="51"/>
        <v>0</v>
      </c>
      <c r="GZ223" s="440">
        <f t="shared" si="51"/>
        <v>0</v>
      </c>
      <c r="HA223" s="440"/>
      <c r="HB223" s="440"/>
      <c r="HC223" s="440"/>
      <c r="HD223" s="440"/>
      <c r="HE223" s="429">
        <f t="shared" si="55"/>
        <v>199</v>
      </c>
      <c r="HF223" s="429">
        <f>SUM(GW223*Baseline!$P$24,GX223*Baseline!$P$25,GY223*Baseline!$P$26,GZ223*Baseline!$P$27,HA223*Baseline!$P$28,HB223*Baseline!$P$29,HC223*Baseline!$P$30,HD223*Baseline!$P$31,Baseline!$P$23)</f>
        <v>626.18362874044828</v>
      </c>
      <c r="HG223" s="455" t="e">
        <f t="shared" si="56"/>
        <v>#DIV/0!</v>
      </c>
      <c r="HH223" s="429" t="e">
        <f>IF(HG223&lt;=Baseline!$J$13,1,0)</f>
        <v>#DIV/0!</v>
      </c>
      <c r="HI223" s="429">
        <f t="shared" si="57"/>
        <v>392105.93690255558</v>
      </c>
      <c r="HJ223" s="429">
        <f t="shared" si="52"/>
        <v>48910903.069173105</v>
      </c>
      <c r="HK223" s="429">
        <f t="shared" si="53"/>
        <v>58061606.033611111</v>
      </c>
      <c r="HL223" s="429" t="str">
        <f>IF(HM223=Reference!$I$12,(HF223-GV223),"")</f>
        <v/>
      </c>
      <c r="HM223" s="429" t="str">
        <f>Reference!I223</f>
        <v/>
      </c>
      <c r="HN223" s="429" t="str">
        <f t="shared" si="58"/>
        <v/>
      </c>
    </row>
    <row r="224" spans="189:222" ht="17.25" customHeight="1" x14ac:dyDescent="0.35">
      <c r="GG224" s="432"/>
      <c r="GJ224" s="429" t="str">
        <f>IF(GK224=$GJ$15,$GJ$15,IF(GJ$24=HF$4,SUM(GK$25:GK224),SUM(GL$25:GL224)))</f>
        <v>N</v>
      </c>
      <c r="GK224" s="438" t="str">
        <f>IFERROR('!!'!G224-'!!'!D224,$GJ$15)</f>
        <v>N</v>
      </c>
      <c r="GL224" s="429" t="str">
        <f t="shared" si="54"/>
        <v>N</v>
      </c>
      <c r="GM224" s="438">
        <f>IFERROR(('!!'!$D224)*('!!'!W224/('!!'!$G224)),0)</f>
        <v>0</v>
      </c>
      <c r="GN224" s="438">
        <f>IFERROR(('!!'!$D224)*('!!'!X224/('!!'!$G224)),0)</f>
        <v>0</v>
      </c>
      <c r="GO224" s="438">
        <f>IFERROR(('!!'!$D224)*('!!'!Y224/('!!'!$G224)),0)</f>
        <v>0</v>
      </c>
      <c r="GP224" s="438">
        <f>IFERROR(('!!'!$D224)*('!!'!Z223/('!!'!$G224)),0)</f>
        <v>0</v>
      </c>
      <c r="GQ224" s="438">
        <f>IFERROR(('!!'!$D224)*('!!'!Q224/('!!'!$G224)),0)</f>
        <v>0</v>
      </c>
      <c r="GR224" s="429">
        <v>1</v>
      </c>
      <c r="GS224" s="429">
        <v>2</v>
      </c>
      <c r="GT224" s="432">
        <f>Monitoring!C224</f>
        <v>0</v>
      </c>
      <c r="GU224" s="432">
        <f>Reference!$C224</f>
        <v>0</v>
      </c>
      <c r="GV224" s="429">
        <f>Reference!$D224</f>
        <v>0</v>
      </c>
      <c r="GW224" s="440">
        <f t="shared" si="51"/>
        <v>0</v>
      </c>
      <c r="GX224" s="440">
        <f t="shared" si="51"/>
        <v>0</v>
      </c>
      <c r="GY224" s="440">
        <f t="shared" si="51"/>
        <v>0</v>
      </c>
      <c r="GZ224" s="440">
        <f t="shared" si="51"/>
        <v>0</v>
      </c>
      <c r="HA224" s="440"/>
      <c r="HB224" s="440"/>
      <c r="HC224" s="440"/>
      <c r="HD224" s="440"/>
      <c r="HE224" s="429">
        <f t="shared" si="55"/>
        <v>200</v>
      </c>
      <c r="HF224" s="429">
        <f>SUM(GW224*Baseline!$P$24,GX224*Baseline!$P$25,GY224*Baseline!$P$26,GZ224*Baseline!$P$27,HA224*Baseline!$P$28,HB224*Baseline!$P$29,HC224*Baseline!$P$30,HD224*Baseline!$P$31,Baseline!$P$23)</f>
        <v>626.18362874044828</v>
      </c>
      <c r="HG224" s="455" t="e">
        <f t="shared" si="56"/>
        <v>#DIV/0!</v>
      </c>
      <c r="HH224" s="429" t="e">
        <f>IF(HG224&lt;=Baseline!$J$13,1,0)</f>
        <v>#DIV/0!</v>
      </c>
      <c r="HI224" s="429">
        <f t="shared" si="57"/>
        <v>392105.93690255558</v>
      </c>
      <c r="HJ224" s="429">
        <f t="shared" si="52"/>
        <v>48910903.069173105</v>
      </c>
      <c r="HK224" s="429">
        <f t="shared" si="53"/>
        <v>58061606.033611111</v>
      </c>
      <c r="HL224" s="429" t="str">
        <f>IF(HM224=Reference!$I$12,(HF224-GV224),"")</f>
        <v/>
      </c>
      <c r="HM224" s="429" t="str">
        <f>Reference!I224</f>
        <v/>
      </c>
      <c r="HN224" s="429" t="str">
        <f t="shared" si="58"/>
        <v/>
      </c>
    </row>
    <row r="225" spans="189:222" ht="17.25" customHeight="1" x14ac:dyDescent="0.35">
      <c r="GG225" s="432"/>
      <c r="GJ225" s="429" t="str">
        <f>IF(GK225=$GJ$15,$GJ$15,IF(GJ$24=HF$4,SUM(GK$25:GK225),SUM(GL$25:GL225)))</f>
        <v>N</v>
      </c>
      <c r="GK225" s="438" t="str">
        <f>IFERROR('!!'!G225-'!!'!D225,$GJ$15)</f>
        <v>N</v>
      </c>
      <c r="GL225" s="429" t="str">
        <f t="shared" si="54"/>
        <v>N</v>
      </c>
      <c r="GM225" s="438">
        <f>IFERROR(('!!'!$D225)*('!!'!W225/('!!'!$G225)),0)</f>
        <v>0</v>
      </c>
      <c r="GN225" s="438">
        <f>IFERROR(('!!'!$D225)*('!!'!X225/('!!'!$G225)),0)</f>
        <v>0</v>
      </c>
      <c r="GO225" s="438">
        <f>IFERROR(('!!'!$D225)*('!!'!Y225/('!!'!$G225)),0)</f>
        <v>0</v>
      </c>
      <c r="GP225" s="438">
        <f>IFERROR(('!!'!$D225)*('!!'!Z224/('!!'!$G225)),0)</f>
        <v>0</v>
      </c>
      <c r="GQ225" s="438">
        <f>IFERROR(('!!'!$D225)*('!!'!Q225/('!!'!$G225)),0)</f>
        <v>0</v>
      </c>
      <c r="GR225" s="429">
        <v>1</v>
      </c>
      <c r="GS225" s="429">
        <v>2</v>
      </c>
      <c r="GT225" s="432">
        <f>Monitoring!C225</f>
        <v>0</v>
      </c>
      <c r="GU225" s="432">
        <f>Reference!$C225</f>
        <v>0</v>
      </c>
      <c r="GV225" s="429">
        <f>Reference!$D225</f>
        <v>0</v>
      </c>
      <c r="GW225" s="440">
        <f t="shared" ref="GW225:GZ234" si="59">IFERROR(VLOOKUP($GU225,Daten.B,GW$22,FALSE)^GW$23,0)</f>
        <v>0</v>
      </c>
      <c r="GX225" s="440">
        <f t="shared" si="59"/>
        <v>0</v>
      </c>
      <c r="GY225" s="440">
        <f t="shared" si="59"/>
        <v>0</v>
      </c>
      <c r="GZ225" s="440">
        <f t="shared" si="59"/>
        <v>0</v>
      </c>
      <c r="HA225" s="440"/>
      <c r="HB225" s="440"/>
      <c r="HC225" s="440"/>
      <c r="HD225" s="440"/>
      <c r="HE225" s="429">
        <f t="shared" si="55"/>
        <v>201</v>
      </c>
      <c r="HF225" s="429">
        <f>SUM(GW225*Baseline!$P$24,GX225*Baseline!$P$25,GY225*Baseline!$P$26,GZ225*Baseline!$P$27,HA225*Baseline!$P$28,HB225*Baseline!$P$29,HC225*Baseline!$P$30,HD225*Baseline!$P$31,Baseline!$P$23)</f>
        <v>626.18362874044828</v>
      </c>
      <c r="HG225" s="455" t="e">
        <f t="shared" si="56"/>
        <v>#DIV/0!</v>
      </c>
      <c r="HH225" s="429" t="e">
        <f>IF(HG225&lt;=Baseline!$J$13,1,0)</f>
        <v>#DIV/0!</v>
      </c>
      <c r="HI225" s="429">
        <f t="shared" si="57"/>
        <v>392105.93690255558</v>
      </c>
      <c r="HJ225" s="429">
        <f t="shared" si="52"/>
        <v>48910903.069173105</v>
      </c>
      <c r="HK225" s="429">
        <f t="shared" si="53"/>
        <v>58061606.033611111</v>
      </c>
      <c r="HL225" s="429" t="str">
        <f>IF(HM225=Reference!$I$12,(HF225-GV225),"")</f>
        <v/>
      </c>
      <c r="HM225" s="429" t="str">
        <f>Reference!I225</f>
        <v/>
      </c>
      <c r="HN225" s="429" t="str">
        <f t="shared" si="58"/>
        <v/>
      </c>
    </row>
    <row r="226" spans="189:222" ht="17.25" customHeight="1" x14ac:dyDescent="0.35">
      <c r="GG226" s="432"/>
      <c r="GJ226" s="429" t="str">
        <f>IF(GK226=$GJ$15,$GJ$15,IF(GJ$24=HF$4,SUM(GK$25:GK226),SUM(GL$25:GL226)))</f>
        <v>N</v>
      </c>
      <c r="GK226" s="438" t="str">
        <f>IFERROR('!!'!G226-'!!'!D226,$GJ$15)</f>
        <v>N</v>
      </c>
      <c r="GL226" s="429" t="str">
        <f t="shared" si="54"/>
        <v>N</v>
      </c>
      <c r="GM226" s="438">
        <f>IFERROR(('!!'!$D226)*('!!'!W226/('!!'!$G226)),0)</f>
        <v>0</v>
      </c>
      <c r="GN226" s="438">
        <f>IFERROR(('!!'!$D226)*('!!'!X226/('!!'!$G226)),0)</f>
        <v>0</v>
      </c>
      <c r="GO226" s="438">
        <f>IFERROR(('!!'!$D226)*('!!'!Y226/('!!'!$G226)),0)</f>
        <v>0</v>
      </c>
      <c r="GP226" s="438">
        <f>IFERROR(('!!'!$D226)*('!!'!Z225/('!!'!$G226)),0)</f>
        <v>0</v>
      </c>
      <c r="GQ226" s="438">
        <f>IFERROR(('!!'!$D226)*('!!'!Q226/('!!'!$G226)),0)</f>
        <v>0</v>
      </c>
      <c r="GR226" s="429">
        <v>1</v>
      </c>
      <c r="GS226" s="429">
        <v>2</v>
      </c>
      <c r="GT226" s="432">
        <f>Monitoring!C226</f>
        <v>0</v>
      </c>
      <c r="GU226" s="432">
        <f>Reference!$C226</f>
        <v>0</v>
      </c>
      <c r="GV226" s="429">
        <f>Reference!$D226</f>
        <v>0</v>
      </c>
      <c r="GW226" s="440">
        <f t="shared" si="59"/>
        <v>0</v>
      </c>
      <c r="GX226" s="440">
        <f t="shared" si="59"/>
        <v>0</v>
      </c>
      <c r="GY226" s="440">
        <f t="shared" si="59"/>
        <v>0</v>
      </c>
      <c r="GZ226" s="440">
        <f t="shared" si="59"/>
        <v>0</v>
      </c>
      <c r="HA226" s="440"/>
      <c r="HB226" s="440"/>
      <c r="HC226" s="440"/>
      <c r="HD226" s="440"/>
      <c r="HE226" s="429">
        <f t="shared" si="55"/>
        <v>202</v>
      </c>
      <c r="HF226" s="429">
        <f>SUM(GW226*Baseline!$P$24,GX226*Baseline!$P$25,GY226*Baseline!$P$26,GZ226*Baseline!$P$27,HA226*Baseline!$P$28,HB226*Baseline!$P$29,HC226*Baseline!$P$30,HD226*Baseline!$P$31,Baseline!$P$23)</f>
        <v>626.18362874044828</v>
      </c>
      <c r="HG226" s="455" t="e">
        <f t="shared" si="56"/>
        <v>#DIV/0!</v>
      </c>
      <c r="HH226" s="429" t="e">
        <f>IF(HG226&lt;=Baseline!$J$13,1,0)</f>
        <v>#DIV/0!</v>
      </c>
      <c r="HI226" s="429">
        <f t="shared" si="57"/>
        <v>392105.93690255558</v>
      </c>
      <c r="HJ226" s="429">
        <f t="shared" si="52"/>
        <v>48910903.069173105</v>
      </c>
      <c r="HK226" s="429">
        <f t="shared" si="53"/>
        <v>58061606.033611111</v>
      </c>
      <c r="HL226" s="429" t="str">
        <f>IF(HM226=Reference!$I$12,(HF226-GV226),"")</f>
        <v/>
      </c>
      <c r="HM226" s="429" t="str">
        <f>Reference!I226</f>
        <v/>
      </c>
      <c r="HN226" s="429" t="str">
        <f t="shared" si="58"/>
        <v/>
      </c>
    </row>
    <row r="227" spans="189:222" ht="17.25" customHeight="1" x14ac:dyDescent="0.35">
      <c r="GG227" s="432"/>
      <c r="GJ227" s="429" t="str">
        <f>IF(GK227=$GJ$15,$GJ$15,IF(GJ$24=HF$4,SUM(GK$25:GK227),SUM(GL$25:GL227)))</f>
        <v>N</v>
      </c>
      <c r="GK227" s="438" t="str">
        <f>IFERROR('!!'!G227-'!!'!D227,$GJ$15)</f>
        <v>N</v>
      </c>
      <c r="GL227" s="429" t="str">
        <f t="shared" si="54"/>
        <v>N</v>
      </c>
      <c r="GM227" s="438">
        <f>IFERROR(('!!'!$D227)*('!!'!W227/('!!'!$G227)),0)</f>
        <v>0</v>
      </c>
      <c r="GN227" s="438">
        <f>IFERROR(('!!'!$D227)*('!!'!X227/('!!'!$G227)),0)</f>
        <v>0</v>
      </c>
      <c r="GO227" s="438">
        <f>IFERROR(('!!'!$D227)*('!!'!Y227/('!!'!$G227)),0)</f>
        <v>0</v>
      </c>
      <c r="GP227" s="438">
        <f>IFERROR(('!!'!$D227)*('!!'!Z226/('!!'!$G227)),0)</f>
        <v>0</v>
      </c>
      <c r="GQ227" s="438">
        <f>IFERROR(('!!'!$D227)*('!!'!Q227/('!!'!$G227)),0)</f>
        <v>0</v>
      </c>
      <c r="GR227" s="429">
        <v>1</v>
      </c>
      <c r="GS227" s="429">
        <v>2</v>
      </c>
      <c r="GT227" s="432">
        <f>Monitoring!C227</f>
        <v>0</v>
      </c>
      <c r="GU227" s="432">
        <f>Reference!$C227</f>
        <v>0</v>
      </c>
      <c r="GV227" s="429">
        <f>Reference!$D227</f>
        <v>0</v>
      </c>
      <c r="GW227" s="440">
        <f t="shared" si="59"/>
        <v>0</v>
      </c>
      <c r="GX227" s="440">
        <f t="shared" si="59"/>
        <v>0</v>
      </c>
      <c r="GY227" s="440">
        <f t="shared" si="59"/>
        <v>0</v>
      </c>
      <c r="GZ227" s="440">
        <f t="shared" si="59"/>
        <v>0</v>
      </c>
      <c r="HA227" s="440"/>
      <c r="HB227" s="440"/>
      <c r="HC227" s="440"/>
      <c r="HD227" s="440"/>
      <c r="HE227" s="429">
        <f t="shared" si="55"/>
        <v>203</v>
      </c>
      <c r="HF227" s="429">
        <f>SUM(GW227*Baseline!$P$24,GX227*Baseline!$P$25,GY227*Baseline!$P$26,GZ227*Baseline!$P$27,HA227*Baseline!$P$28,HB227*Baseline!$P$29,HC227*Baseline!$P$30,HD227*Baseline!$P$31,Baseline!$P$23)</f>
        <v>626.18362874044828</v>
      </c>
      <c r="HG227" s="455" t="e">
        <f t="shared" si="56"/>
        <v>#DIV/0!</v>
      </c>
      <c r="HH227" s="429" t="e">
        <f>IF(HG227&lt;=Baseline!$J$13,1,0)</f>
        <v>#DIV/0!</v>
      </c>
      <c r="HI227" s="429">
        <f t="shared" si="57"/>
        <v>392105.93690255558</v>
      </c>
      <c r="HJ227" s="429">
        <f t="shared" si="52"/>
        <v>48910903.069173105</v>
      </c>
      <c r="HK227" s="429">
        <f t="shared" si="53"/>
        <v>58061606.033611111</v>
      </c>
      <c r="HL227" s="429" t="str">
        <f>IF(HM227=Reference!$I$12,(HF227-GV227),"")</f>
        <v/>
      </c>
      <c r="HM227" s="429" t="str">
        <f>Reference!I227</f>
        <v/>
      </c>
      <c r="HN227" s="429" t="str">
        <f t="shared" si="58"/>
        <v/>
      </c>
    </row>
    <row r="228" spans="189:222" ht="17.25" customHeight="1" x14ac:dyDescent="0.35">
      <c r="GG228" s="432"/>
      <c r="GJ228" s="429" t="str">
        <f>IF(GK228=$GJ$15,$GJ$15,IF(GJ$24=HF$4,SUM(GK$25:GK228),SUM(GL$25:GL228)))</f>
        <v>N</v>
      </c>
      <c r="GK228" s="438" t="str">
        <f>IFERROR('!!'!G228-'!!'!D228,$GJ$15)</f>
        <v>N</v>
      </c>
      <c r="GL228" s="429" t="str">
        <f t="shared" si="54"/>
        <v>N</v>
      </c>
      <c r="GM228" s="438">
        <f>IFERROR(('!!'!$D228)*('!!'!W228/('!!'!$G228)),0)</f>
        <v>0</v>
      </c>
      <c r="GN228" s="438">
        <f>IFERROR(('!!'!$D228)*('!!'!X228/('!!'!$G228)),0)</f>
        <v>0</v>
      </c>
      <c r="GO228" s="438">
        <f>IFERROR(('!!'!$D228)*('!!'!Y228/('!!'!$G228)),0)</f>
        <v>0</v>
      </c>
      <c r="GP228" s="438">
        <f>IFERROR(('!!'!$D228)*('!!'!Z227/('!!'!$G228)),0)</f>
        <v>0</v>
      </c>
      <c r="GQ228" s="438">
        <f>IFERROR(('!!'!$D228)*('!!'!Q228/('!!'!$G228)),0)</f>
        <v>0</v>
      </c>
      <c r="GR228" s="429">
        <v>1</v>
      </c>
      <c r="GS228" s="429">
        <v>2</v>
      </c>
      <c r="GT228" s="432">
        <f>Monitoring!C228</f>
        <v>0</v>
      </c>
      <c r="GU228" s="432">
        <f>Reference!$C228</f>
        <v>0</v>
      </c>
      <c r="GV228" s="429">
        <f>Reference!$D228</f>
        <v>0</v>
      </c>
      <c r="GW228" s="440">
        <f t="shared" si="59"/>
        <v>0</v>
      </c>
      <c r="GX228" s="440">
        <f t="shared" si="59"/>
        <v>0</v>
      </c>
      <c r="GY228" s="440">
        <f t="shared" si="59"/>
        <v>0</v>
      </c>
      <c r="GZ228" s="440">
        <f t="shared" si="59"/>
        <v>0</v>
      </c>
      <c r="HA228" s="440"/>
      <c r="HB228" s="440"/>
      <c r="HC228" s="440"/>
      <c r="HD228" s="440"/>
      <c r="HE228" s="429">
        <f t="shared" si="55"/>
        <v>204</v>
      </c>
      <c r="HF228" s="429">
        <f>SUM(GW228*Baseline!$P$24,GX228*Baseline!$P$25,GY228*Baseline!$P$26,GZ228*Baseline!$P$27,HA228*Baseline!$P$28,HB228*Baseline!$P$29,HC228*Baseline!$P$30,HD228*Baseline!$P$31,Baseline!$P$23)</f>
        <v>626.18362874044828</v>
      </c>
      <c r="HG228" s="455" t="e">
        <f t="shared" si="56"/>
        <v>#DIV/0!</v>
      </c>
      <c r="HH228" s="429" t="e">
        <f>IF(HG228&lt;=Baseline!$J$13,1,0)</f>
        <v>#DIV/0!</v>
      </c>
      <c r="HI228" s="429">
        <f t="shared" si="57"/>
        <v>392105.93690255558</v>
      </c>
      <c r="HJ228" s="429">
        <f t="shared" si="52"/>
        <v>48910903.069173105</v>
      </c>
      <c r="HK228" s="429">
        <f t="shared" si="53"/>
        <v>58061606.033611111</v>
      </c>
      <c r="HL228" s="429" t="str">
        <f>IF(HM228=Reference!$I$12,(HF228-GV228),"")</f>
        <v/>
      </c>
      <c r="HM228" s="429" t="str">
        <f>Reference!I228</f>
        <v/>
      </c>
      <c r="HN228" s="429" t="str">
        <f t="shared" si="58"/>
        <v/>
      </c>
    </row>
    <row r="229" spans="189:222" ht="17.25" customHeight="1" x14ac:dyDescent="0.35">
      <c r="GG229" s="432"/>
      <c r="GJ229" s="429" t="str">
        <f>IF(GK229=$GJ$15,$GJ$15,IF(GJ$24=HF$4,SUM(GK$25:GK229),SUM(GL$25:GL229)))</f>
        <v>N</v>
      </c>
      <c r="GK229" s="438" t="str">
        <f>IFERROR('!!'!G229-'!!'!D229,$GJ$15)</f>
        <v>N</v>
      </c>
      <c r="GL229" s="429" t="str">
        <f t="shared" si="54"/>
        <v>N</v>
      </c>
      <c r="GM229" s="438">
        <f>IFERROR(('!!'!$D229)*('!!'!W229/('!!'!$G229)),0)</f>
        <v>0</v>
      </c>
      <c r="GN229" s="438">
        <f>IFERROR(('!!'!$D229)*('!!'!X229/('!!'!$G229)),0)</f>
        <v>0</v>
      </c>
      <c r="GO229" s="438">
        <f>IFERROR(('!!'!$D229)*('!!'!Y229/('!!'!$G229)),0)</f>
        <v>0</v>
      </c>
      <c r="GP229" s="438">
        <f>IFERROR(('!!'!$D229)*('!!'!Z228/('!!'!$G229)),0)</f>
        <v>0</v>
      </c>
      <c r="GQ229" s="438">
        <f>IFERROR(('!!'!$D229)*('!!'!Q229/('!!'!$G229)),0)</f>
        <v>0</v>
      </c>
      <c r="GR229" s="429">
        <v>1</v>
      </c>
      <c r="GS229" s="429">
        <v>2</v>
      </c>
      <c r="GT229" s="432">
        <f>Monitoring!C229</f>
        <v>0</v>
      </c>
      <c r="GU229" s="432">
        <f>Reference!$C229</f>
        <v>0</v>
      </c>
      <c r="GV229" s="429">
        <f>Reference!$D229</f>
        <v>0</v>
      </c>
      <c r="GW229" s="440">
        <f t="shared" si="59"/>
        <v>0</v>
      </c>
      <c r="GX229" s="440">
        <f t="shared" si="59"/>
        <v>0</v>
      </c>
      <c r="GY229" s="440">
        <f t="shared" si="59"/>
        <v>0</v>
      </c>
      <c r="GZ229" s="440">
        <f t="shared" si="59"/>
        <v>0</v>
      </c>
      <c r="HA229" s="440"/>
      <c r="HB229" s="440"/>
      <c r="HC229" s="440"/>
      <c r="HD229" s="440"/>
      <c r="HE229" s="429">
        <f t="shared" si="55"/>
        <v>205</v>
      </c>
      <c r="HF229" s="429">
        <f>SUM(GW229*Baseline!$P$24,GX229*Baseline!$P$25,GY229*Baseline!$P$26,GZ229*Baseline!$P$27,HA229*Baseline!$P$28,HB229*Baseline!$P$29,HC229*Baseline!$P$30,HD229*Baseline!$P$31,Baseline!$P$23)</f>
        <v>626.18362874044828</v>
      </c>
      <c r="HG229" s="455" t="e">
        <f t="shared" si="56"/>
        <v>#DIV/0!</v>
      </c>
      <c r="HH229" s="429" t="e">
        <f>IF(HG229&lt;=Baseline!$J$13,1,0)</f>
        <v>#DIV/0!</v>
      </c>
      <c r="HI229" s="429">
        <f t="shared" si="57"/>
        <v>392105.93690255558</v>
      </c>
      <c r="HJ229" s="429">
        <f t="shared" si="52"/>
        <v>48910903.069173105</v>
      </c>
      <c r="HK229" s="429">
        <f t="shared" si="53"/>
        <v>58061606.033611111</v>
      </c>
      <c r="HL229" s="429" t="str">
        <f>IF(HM229=Reference!$I$12,(HF229-GV229),"")</f>
        <v/>
      </c>
      <c r="HM229" s="429" t="str">
        <f>Reference!I229</f>
        <v/>
      </c>
      <c r="HN229" s="429" t="str">
        <f t="shared" si="58"/>
        <v/>
      </c>
    </row>
    <row r="230" spans="189:222" ht="17.25" customHeight="1" x14ac:dyDescent="0.35">
      <c r="GG230" s="432"/>
      <c r="GJ230" s="429" t="str">
        <f>IF(GK230=$GJ$15,$GJ$15,IF(GJ$24=HF$4,SUM(GK$25:GK230),SUM(GL$25:GL230)))</f>
        <v>N</v>
      </c>
      <c r="GK230" s="438" t="str">
        <f>IFERROR('!!'!G230-'!!'!D230,$GJ$15)</f>
        <v>N</v>
      </c>
      <c r="GL230" s="429" t="str">
        <f t="shared" si="54"/>
        <v>N</v>
      </c>
      <c r="GM230" s="438">
        <f>IFERROR(('!!'!$D230)*('!!'!W230/('!!'!$G230)),0)</f>
        <v>0</v>
      </c>
      <c r="GN230" s="438">
        <f>IFERROR(('!!'!$D230)*('!!'!X230/('!!'!$G230)),0)</f>
        <v>0</v>
      </c>
      <c r="GO230" s="438">
        <f>IFERROR(('!!'!$D230)*('!!'!Y230/('!!'!$G230)),0)</f>
        <v>0</v>
      </c>
      <c r="GP230" s="438">
        <f>IFERROR(('!!'!$D230)*('!!'!Z229/('!!'!$G230)),0)</f>
        <v>0</v>
      </c>
      <c r="GQ230" s="438">
        <f>IFERROR(('!!'!$D230)*('!!'!Q230/('!!'!$G230)),0)</f>
        <v>0</v>
      </c>
      <c r="GR230" s="429">
        <v>1</v>
      </c>
      <c r="GS230" s="429">
        <v>2</v>
      </c>
      <c r="GT230" s="432">
        <f>Monitoring!C230</f>
        <v>0</v>
      </c>
      <c r="GU230" s="432">
        <f>Reference!$C230</f>
        <v>0</v>
      </c>
      <c r="GV230" s="429">
        <f>Reference!$D230</f>
        <v>0</v>
      </c>
      <c r="GW230" s="440">
        <f t="shared" si="59"/>
        <v>0</v>
      </c>
      <c r="GX230" s="440">
        <f t="shared" si="59"/>
        <v>0</v>
      </c>
      <c r="GY230" s="440">
        <f t="shared" si="59"/>
        <v>0</v>
      </c>
      <c r="GZ230" s="440">
        <f t="shared" si="59"/>
        <v>0</v>
      </c>
      <c r="HA230" s="440"/>
      <c r="HB230" s="440"/>
      <c r="HC230" s="440"/>
      <c r="HD230" s="440"/>
      <c r="HE230" s="429">
        <f t="shared" si="55"/>
        <v>206</v>
      </c>
      <c r="HF230" s="429">
        <f>SUM(GW230*Baseline!$P$24,GX230*Baseline!$P$25,GY230*Baseline!$P$26,GZ230*Baseline!$P$27,HA230*Baseline!$P$28,HB230*Baseline!$P$29,HC230*Baseline!$P$30,HD230*Baseline!$P$31,Baseline!$P$23)</f>
        <v>626.18362874044828</v>
      </c>
      <c r="HG230" s="455" t="e">
        <f t="shared" si="56"/>
        <v>#DIV/0!</v>
      </c>
      <c r="HH230" s="429" t="e">
        <f>IF(HG230&lt;=Baseline!$J$13,1,0)</f>
        <v>#DIV/0!</v>
      </c>
      <c r="HI230" s="429">
        <f t="shared" si="57"/>
        <v>392105.93690255558</v>
      </c>
      <c r="HJ230" s="429">
        <f t="shared" si="52"/>
        <v>48910903.069173105</v>
      </c>
      <c r="HK230" s="429">
        <f t="shared" si="53"/>
        <v>58061606.033611111</v>
      </c>
      <c r="HL230" s="429" t="str">
        <f>IF(HM230=Reference!$I$12,(HF230-GV230),"")</f>
        <v/>
      </c>
      <c r="HM230" s="429" t="str">
        <f>Reference!I230</f>
        <v/>
      </c>
      <c r="HN230" s="429" t="str">
        <f t="shared" si="58"/>
        <v/>
      </c>
    </row>
    <row r="231" spans="189:222" ht="17.25" customHeight="1" x14ac:dyDescent="0.35">
      <c r="GG231" s="432"/>
      <c r="GJ231" s="429" t="str">
        <f>IF(GK231=$GJ$15,$GJ$15,IF(GJ$24=HF$4,SUM(GK$25:GK231),SUM(GL$25:GL231)))</f>
        <v>N</v>
      </c>
      <c r="GK231" s="438" t="str">
        <f>IFERROR('!!'!G231-'!!'!D231,$GJ$15)</f>
        <v>N</v>
      </c>
      <c r="GL231" s="429" t="str">
        <f t="shared" si="54"/>
        <v>N</v>
      </c>
      <c r="GM231" s="438">
        <f>IFERROR(('!!'!$D231)*('!!'!W231/('!!'!$G231)),0)</f>
        <v>0</v>
      </c>
      <c r="GN231" s="438">
        <f>IFERROR(('!!'!$D231)*('!!'!X231/('!!'!$G231)),0)</f>
        <v>0</v>
      </c>
      <c r="GO231" s="438">
        <f>IFERROR(('!!'!$D231)*('!!'!Y231/('!!'!$G231)),0)</f>
        <v>0</v>
      </c>
      <c r="GP231" s="438">
        <f>IFERROR(('!!'!$D231)*('!!'!Z230/('!!'!$G231)),0)</f>
        <v>0</v>
      </c>
      <c r="GQ231" s="438">
        <f>IFERROR(('!!'!$D231)*('!!'!Q231/('!!'!$G231)),0)</f>
        <v>0</v>
      </c>
      <c r="GR231" s="429">
        <v>1</v>
      </c>
      <c r="GS231" s="429">
        <v>2</v>
      </c>
      <c r="GT231" s="432">
        <f>Monitoring!C231</f>
        <v>0</v>
      </c>
      <c r="GU231" s="432">
        <f>Reference!$C231</f>
        <v>0</v>
      </c>
      <c r="GV231" s="429">
        <f>Reference!$D231</f>
        <v>0</v>
      </c>
      <c r="GW231" s="440">
        <f t="shared" si="59"/>
        <v>0</v>
      </c>
      <c r="GX231" s="440">
        <f t="shared" si="59"/>
        <v>0</v>
      </c>
      <c r="GY231" s="440">
        <f t="shared" si="59"/>
        <v>0</v>
      </c>
      <c r="GZ231" s="440">
        <f t="shared" si="59"/>
        <v>0</v>
      </c>
      <c r="HA231" s="440"/>
      <c r="HB231" s="440"/>
      <c r="HC231" s="440"/>
      <c r="HD231" s="440"/>
      <c r="HE231" s="429">
        <f t="shared" si="55"/>
        <v>207</v>
      </c>
      <c r="HF231" s="429">
        <f>SUM(GW231*Baseline!$P$24,GX231*Baseline!$P$25,GY231*Baseline!$P$26,GZ231*Baseline!$P$27,HA231*Baseline!$P$28,HB231*Baseline!$P$29,HC231*Baseline!$P$30,HD231*Baseline!$P$31,Baseline!$P$23)</f>
        <v>626.18362874044828</v>
      </c>
      <c r="HG231" s="455" t="e">
        <f t="shared" si="56"/>
        <v>#DIV/0!</v>
      </c>
      <c r="HH231" s="429" t="e">
        <f>IF(HG231&lt;=Baseline!$J$13,1,0)</f>
        <v>#DIV/0!</v>
      </c>
      <c r="HI231" s="429">
        <f t="shared" si="57"/>
        <v>392105.93690255558</v>
      </c>
      <c r="HJ231" s="429">
        <f t="shared" si="52"/>
        <v>48910903.069173105</v>
      </c>
      <c r="HK231" s="429">
        <f t="shared" si="53"/>
        <v>58061606.033611111</v>
      </c>
      <c r="HL231" s="429" t="str">
        <f>IF(HM231=Reference!$I$12,(HF231-GV231),"")</f>
        <v/>
      </c>
      <c r="HM231" s="429" t="str">
        <f>Reference!I231</f>
        <v/>
      </c>
      <c r="HN231" s="429" t="str">
        <f t="shared" si="58"/>
        <v/>
      </c>
    </row>
    <row r="232" spans="189:222" ht="17.25" customHeight="1" x14ac:dyDescent="0.35">
      <c r="GG232" s="432"/>
      <c r="GJ232" s="429" t="str">
        <f>IF(GK232=$GJ$15,$GJ$15,IF(GJ$24=HF$4,SUM(GK$25:GK232),SUM(GL$25:GL232)))</f>
        <v>N</v>
      </c>
      <c r="GK232" s="438" t="str">
        <f>IFERROR('!!'!G232-'!!'!D232,$GJ$15)</f>
        <v>N</v>
      </c>
      <c r="GL232" s="429" t="str">
        <f t="shared" si="54"/>
        <v>N</v>
      </c>
      <c r="GM232" s="438">
        <f>IFERROR(('!!'!$D232)*('!!'!W232/('!!'!$G232)),0)</f>
        <v>0</v>
      </c>
      <c r="GN232" s="438">
        <f>IFERROR(('!!'!$D232)*('!!'!X232/('!!'!$G232)),0)</f>
        <v>0</v>
      </c>
      <c r="GO232" s="438">
        <f>IFERROR(('!!'!$D232)*('!!'!Y232/('!!'!$G232)),0)</f>
        <v>0</v>
      </c>
      <c r="GP232" s="438">
        <f>IFERROR(('!!'!$D232)*('!!'!Z231/('!!'!$G232)),0)</f>
        <v>0</v>
      </c>
      <c r="GQ232" s="438">
        <f>IFERROR(('!!'!$D232)*('!!'!Q232/('!!'!$G232)),0)</f>
        <v>0</v>
      </c>
      <c r="GR232" s="429">
        <v>1</v>
      </c>
      <c r="GS232" s="429">
        <v>2</v>
      </c>
      <c r="GT232" s="432">
        <f>Monitoring!C232</f>
        <v>0</v>
      </c>
      <c r="GU232" s="432">
        <f>Reference!$C232</f>
        <v>0</v>
      </c>
      <c r="GV232" s="429">
        <f>Reference!$D232</f>
        <v>0</v>
      </c>
      <c r="GW232" s="440">
        <f t="shared" si="59"/>
        <v>0</v>
      </c>
      <c r="GX232" s="440">
        <f t="shared" si="59"/>
        <v>0</v>
      </c>
      <c r="GY232" s="440">
        <f t="shared" si="59"/>
        <v>0</v>
      </c>
      <c r="GZ232" s="440">
        <f t="shared" si="59"/>
        <v>0</v>
      </c>
      <c r="HA232" s="440"/>
      <c r="HB232" s="440"/>
      <c r="HC232" s="440"/>
      <c r="HD232" s="440"/>
      <c r="HE232" s="429">
        <f t="shared" si="55"/>
        <v>208</v>
      </c>
      <c r="HF232" s="429">
        <f>SUM(GW232*Baseline!$P$24,GX232*Baseline!$P$25,GY232*Baseline!$P$26,GZ232*Baseline!$P$27,HA232*Baseline!$P$28,HB232*Baseline!$P$29,HC232*Baseline!$P$30,HD232*Baseline!$P$31,Baseline!$P$23)</f>
        <v>626.18362874044828</v>
      </c>
      <c r="HG232" s="455" t="e">
        <f t="shared" si="56"/>
        <v>#DIV/0!</v>
      </c>
      <c r="HH232" s="429" t="e">
        <f>IF(HG232&lt;=Baseline!$J$13,1,0)</f>
        <v>#DIV/0!</v>
      </c>
      <c r="HI232" s="429">
        <f t="shared" si="57"/>
        <v>392105.93690255558</v>
      </c>
      <c r="HJ232" s="429">
        <f t="shared" si="52"/>
        <v>48910903.069173105</v>
      </c>
      <c r="HK232" s="429">
        <f t="shared" si="53"/>
        <v>58061606.033611111</v>
      </c>
      <c r="HL232" s="429" t="str">
        <f>IF(HM232=Reference!$I$12,(HF232-GV232),"")</f>
        <v/>
      </c>
      <c r="HM232" s="429" t="str">
        <f>Reference!I232</f>
        <v/>
      </c>
      <c r="HN232" s="429" t="str">
        <f t="shared" si="58"/>
        <v/>
      </c>
    </row>
    <row r="233" spans="189:222" ht="17.25" customHeight="1" x14ac:dyDescent="0.35">
      <c r="GG233" s="432"/>
      <c r="GJ233" s="429" t="str">
        <f>IF(GK233=$GJ$15,$GJ$15,IF(GJ$24=HF$4,SUM(GK$25:GK233),SUM(GL$25:GL233)))</f>
        <v>N</v>
      </c>
      <c r="GK233" s="438" t="str">
        <f>IFERROR('!!'!G233-'!!'!D233,$GJ$15)</f>
        <v>N</v>
      </c>
      <c r="GL233" s="429" t="str">
        <f t="shared" si="54"/>
        <v>N</v>
      </c>
      <c r="GM233" s="438">
        <f>IFERROR(('!!'!$D233)*('!!'!W233/('!!'!$G233)),0)</f>
        <v>0</v>
      </c>
      <c r="GN233" s="438">
        <f>IFERROR(('!!'!$D233)*('!!'!X233/('!!'!$G233)),0)</f>
        <v>0</v>
      </c>
      <c r="GO233" s="438">
        <f>IFERROR(('!!'!$D233)*('!!'!Y233/('!!'!$G233)),0)</f>
        <v>0</v>
      </c>
      <c r="GP233" s="438">
        <f>IFERROR(('!!'!$D233)*('!!'!Z232/('!!'!$G233)),0)</f>
        <v>0</v>
      </c>
      <c r="GQ233" s="438">
        <f>IFERROR(('!!'!$D233)*('!!'!Q233/('!!'!$G233)),0)</f>
        <v>0</v>
      </c>
      <c r="GR233" s="429">
        <v>1</v>
      </c>
      <c r="GS233" s="429">
        <v>2</v>
      </c>
      <c r="GT233" s="432">
        <f>Monitoring!C233</f>
        <v>0</v>
      </c>
      <c r="GU233" s="432">
        <f>Reference!$C233</f>
        <v>0</v>
      </c>
      <c r="GV233" s="429">
        <f>Reference!$D233</f>
        <v>0</v>
      </c>
      <c r="GW233" s="440">
        <f t="shared" si="59"/>
        <v>0</v>
      </c>
      <c r="GX233" s="440">
        <f t="shared" si="59"/>
        <v>0</v>
      </c>
      <c r="GY233" s="440">
        <f t="shared" si="59"/>
        <v>0</v>
      </c>
      <c r="GZ233" s="440">
        <f t="shared" si="59"/>
        <v>0</v>
      </c>
      <c r="HA233" s="440"/>
      <c r="HB233" s="440"/>
      <c r="HC233" s="440"/>
      <c r="HD233" s="440"/>
      <c r="HE233" s="429">
        <f t="shared" si="55"/>
        <v>209</v>
      </c>
      <c r="HF233" s="429">
        <f>SUM(GW233*Baseline!$P$24,GX233*Baseline!$P$25,GY233*Baseline!$P$26,GZ233*Baseline!$P$27,HA233*Baseline!$P$28,HB233*Baseline!$P$29,HC233*Baseline!$P$30,HD233*Baseline!$P$31,Baseline!$P$23)</f>
        <v>626.18362874044828</v>
      </c>
      <c r="HG233" s="455" t="e">
        <f t="shared" si="56"/>
        <v>#DIV/0!</v>
      </c>
      <c r="HH233" s="429" t="e">
        <f>IF(HG233&lt;=Baseline!$J$13,1,0)</f>
        <v>#DIV/0!</v>
      </c>
      <c r="HI233" s="429">
        <f t="shared" si="57"/>
        <v>392105.93690255558</v>
      </c>
      <c r="HJ233" s="429">
        <f t="shared" si="52"/>
        <v>48910903.069173105</v>
      </c>
      <c r="HK233" s="429">
        <f t="shared" si="53"/>
        <v>58061606.033611111</v>
      </c>
      <c r="HL233" s="429" t="str">
        <f>IF(HM233=Reference!$I$12,(HF233-GV233),"")</f>
        <v/>
      </c>
      <c r="HM233" s="429" t="str">
        <f>Reference!I233</f>
        <v/>
      </c>
      <c r="HN233" s="429" t="str">
        <f t="shared" si="58"/>
        <v/>
      </c>
    </row>
    <row r="234" spans="189:222" ht="17.25" customHeight="1" x14ac:dyDescent="0.35">
      <c r="GG234" s="432"/>
      <c r="GJ234" s="429" t="str">
        <f>IF(GK234=$GJ$15,$GJ$15,IF(GJ$24=HF$4,SUM(GK$25:GK234),SUM(GL$25:GL234)))</f>
        <v>N</v>
      </c>
      <c r="GK234" s="438" t="str">
        <f>IFERROR('!!'!G234-'!!'!D234,$GJ$15)</f>
        <v>N</v>
      </c>
      <c r="GL234" s="429" t="str">
        <f t="shared" si="54"/>
        <v>N</v>
      </c>
      <c r="GM234" s="438">
        <f>IFERROR(('!!'!$D234)*('!!'!W234/('!!'!$G234)),0)</f>
        <v>0</v>
      </c>
      <c r="GN234" s="438">
        <f>IFERROR(('!!'!$D234)*('!!'!X234/('!!'!$G234)),0)</f>
        <v>0</v>
      </c>
      <c r="GO234" s="438">
        <f>IFERROR(('!!'!$D234)*('!!'!Y234/('!!'!$G234)),0)</f>
        <v>0</v>
      </c>
      <c r="GP234" s="438">
        <f>IFERROR(('!!'!$D234)*('!!'!Z233/('!!'!$G234)),0)</f>
        <v>0</v>
      </c>
      <c r="GQ234" s="438">
        <f>IFERROR(('!!'!$D234)*('!!'!Q234/('!!'!$G234)),0)</f>
        <v>0</v>
      </c>
      <c r="GR234" s="429">
        <v>1</v>
      </c>
      <c r="GS234" s="429">
        <v>2</v>
      </c>
      <c r="GT234" s="432">
        <f>Monitoring!C234</f>
        <v>0</v>
      </c>
      <c r="GU234" s="432">
        <f>Reference!$C234</f>
        <v>0</v>
      </c>
      <c r="GV234" s="429">
        <f>Reference!$D234</f>
        <v>0</v>
      </c>
      <c r="GW234" s="440">
        <f t="shared" si="59"/>
        <v>0</v>
      </c>
      <c r="GX234" s="440">
        <f t="shared" si="59"/>
        <v>0</v>
      </c>
      <c r="GY234" s="440">
        <f t="shared" si="59"/>
        <v>0</v>
      </c>
      <c r="GZ234" s="440">
        <f t="shared" si="59"/>
        <v>0</v>
      </c>
      <c r="HA234" s="440"/>
      <c r="HB234" s="440"/>
      <c r="HC234" s="440"/>
      <c r="HD234" s="440"/>
      <c r="HE234" s="429">
        <f t="shared" si="55"/>
        <v>210</v>
      </c>
      <c r="HF234" s="429">
        <f>SUM(GW234*Baseline!$P$24,GX234*Baseline!$P$25,GY234*Baseline!$P$26,GZ234*Baseline!$P$27,HA234*Baseline!$P$28,HB234*Baseline!$P$29,HC234*Baseline!$P$30,HD234*Baseline!$P$31,Baseline!$P$23)</f>
        <v>626.18362874044828</v>
      </c>
      <c r="HG234" s="455" t="e">
        <f t="shared" si="56"/>
        <v>#DIV/0!</v>
      </c>
      <c r="HH234" s="429" t="e">
        <f>IF(HG234&lt;=Baseline!$J$13,1,0)</f>
        <v>#DIV/0!</v>
      </c>
      <c r="HI234" s="429">
        <f t="shared" si="57"/>
        <v>392105.93690255558</v>
      </c>
      <c r="HJ234" s="429">
        <f t="shared" si="52"/>
        <v>48910903.069173105</v>
      </c>
      <c r="HK234" s="429">
        <f t="shared" si="53"/>
        <v>58061606.033611111</v>
      </c>
      <c r="HL234" s="429" t="str">
        <f>IF(HM234=Reference!$I$12,(HF234-GV234),"")</f>
        <v/>
      </c>
      <c r="HM234" s="429" t="str">
        <f>Reference!I234</f>
        <v/>
      </c>
      <c r="HN234" s="429" t="str">
        <f t="shared" si="58"/>
        <v/>
      </c>
    </row>
    <row r="235" spans="189:222" ht="17.25" customHeight="1" x14ac:dyDescent="0.35">
      <c r="GG235" s="432"/>
      <c r="GJ235" s="429" t="str">
        <f>IF(GK235=$GJ$15,$GJ$15,IF(GJ$24=HF$4,SUM(GK$25:GK235),SUM(GL$25:GL235)))</f>
        <v>N</v>
      </c>
      <c r="GK235" s="438" t="str">
        <f>IFERROR('!!'!G235-'!!'!D235,$GJ$15)</f>
        <v>N</v>
      </c>
      <c r="GL235" s="429" t="str">
        <f t="shared" si="54"/>
        <v>N</v>
      </c>
      <c r="GM235" s="438">
        <f>IFERROR(('!!'!$D235)*('!!'!W235/('!!'!$G235)),0)</f>
        <v>0</v>
      </c>
      <c r="GN235" s="438">
        <f>IFERROR(('!!'!$D235)*('!!'!X235/('!!'!$G235)),0)</f>
        <v>0</v>
      </c>
      <c r="GO235" s="438">
        <f>IFERROR(('!!'!$D235)*('!!'!Y235/('!!'!$G235)),0)</f>
        <v>0</v>
      </c>
      <c r="GP235" s="438">
        <f>IFERROR(('!!'!$D235)*('!!'!Z234/('!!'!$G235)),0)</f>
        <v>0</v>
      </c>
      <c r="GQ235" s="438">
        <f>IFERROR(('!!'!$D235)*('!!'!Q235/('!!'!$G235)),0)</f>
        <v>0</v>
      </c>
      <c r="GR235" s="429">
        <v>1</v>
      </c>
      <c r="GS235" s="429">
        <v>2</v>
      </c>
      <c r="GT235" s="432">
        <f>Monitoring!C235</f>
        <v>0</v>
      </c>
      <c r="GU235" s="432">
        <f>Reference!$C235</f>
        <v>0</v>
      </c>
      <c r="GV235" s="429">
        <f>Reference!$D235</f>
        <v>0</v>
      </c>
      <c r="GW235" s="440">
        <f t="shared" ref="GW235:GZ244" si="60">IFERROR(VLOOKUP($GU235,Daten.B,GW$22,FALSE)^GW$23,0)</f>
        <v>0</v>
      </c>
      <c r="GX235" s="440">
        <f t="shared" si="60"/>
        <v>0</v>
      </c>
      <c r="GY235" s="440">
        <f t="shared" si="60"/>
        <v>0</v>
      </c>
      <c r="GZ235" s="440">
        <f t="shared" si="60"/>
        <v>0</v>
      </c>
      <c r="HA235" s="440"/>
      <c r="HB235" s="440"/>
      <c r="HC235" s="440"/>
      <c r="HD235" s="440"/>
      <c r="HE235" s="429">
        <f t="shared" si="55"/>
        <v>211</v>
      </c>
      <c r="HF235" s="429">
        <f>SUM(GW235*Baseline!$P$24,GX235*Baseline!$P$25,GY235*Baseline!$P$26,GZ235*Baseline!$P$27,HA235*Baseline!$P$28,HB235*Baseline!$P$29,HC235*Baseline!$P$30,HD235*Baseline!$P$31,Baseline!$P$23)</f>
        <v>626.18362874044828</v>
      </c>
      <c r="HG235" s="455" t="e">
        <f t="shared" si="56"/>
        <v>#DIV/0!</v>
      </c>
      <c r="HH235" s="429" t="e">
        <f>IF(HG235&lt;=Baseline!$J$13,1,0)</f>
        <v>#DIV/0!</v>
      </c>
      <c r="HI235" s="429">
        <f t="shared" si="57"/>
        <v>392105.93690255558</v>
      </c>
      <c r="HJ235" s="429">
        <f t="shared" si="52"/>
        <v>48910903.069173105</v>
      </c>
      <c r="HK235" s="429">
        <f t="shared" si="53"/>
        <v>58061606.033611111</v>
      </c>
      <c r="HL235" s="429" t="str">
        <f>IF(HM235=Reference!$I$12,(HF235-GV235),"")</f>
        <v/>
      </c>
      <c r="HM235" s="429" t="str">
        <f>Reference!I235</f>
        <v/>
      </c>
      <c r="HN235" s="429" t="str">
        <f t="shared" si="58"/>
        <v/>
      </c>
    </row>
    <row r="236" spans="189:222" ht="17.25" customHeight="1" x14ac:dyDescent="0.35">
      <c r="GG236" s="432"/>
      <c r="GJ236" s="429" t="str">
        <f>IF(GK236=$GJ$15,$GJ$15,IF(GJ$24=HF$4,SUM(GK$25:GK236),SUM(GL$25:GL236)))</f>
        <v>N</v>
      </c>
      <c r="GK236" s="438" t="str">
        <f>IFERROR('!!'!G236-'!!'!D236,$GJ$15)</f>
        <v>N</v>
      </c>
      <c r="GL236" s="429" t="str">
        <f t="shared" si="54"/>
        <v>N</v>
      </c>
      <c r="GM236" s="438">
        <f>IFERROR(('!!'!$D236)*('!!'!W236/('!!'!$G236)),0)</f>
        <v>0</v>
      </c>
      <c r="GN236" s="438">
        <f>IFERROR(('!!'!$D236)*('!!'!X236/('!!'!$G236)),0)</f>
        <v>0</v>
      </c>
      <c r="GO236" s="438">
        <f>IFERROR(('!!'!$D236)*('!!'!Y236/('!!'!$G236)),0)</f>
        <v>0</v>
      </c>
      <c r="GP236" s="438">
        <f>IFERROR(('!!'!$D236)*('!!'!Z235/('!!'!$G236)),0)</f>
        <v>0</v>
      </c>
      <c r="GQ236" s="438">
        <f>IFERROR(('!!'!$D236)*('!!'!Q236/('!!'!$G236)),0)</f>
        <v>0</v>
      </c>
      <c r="GR236" s="429">
        <v>1</v>
      </c>
      <c r="GS236" s="429">
        <v>2</v>
      </c>
      <c r="GT236" s="432">
        <f>Monitoring!C236</f>
        <v>0</v>
      </c>
      <c r="GU236" s="432">
        <f>Reference!$C236</f>
        <v>0</v>
      </c>
      <c r="GV236" s="429">
        <f>Reference!$D236</f>
        <v>0</v>
      </c>
      <c r="GW236" s="440">
        <f t="shared" si="60"/>
        <v>0</v>
      </c>
      <c r="GX236" s="440">
        <f t="shared" si="60"/>
        <v>0</v>
      </c>
      <c r="GY236" s="440">
        <f t="shared" si="60"/>
        <v>0</v>
      </c>
      <c r="GZ236" s="440">
        <f t="shared" si="60"/>
        <v>0</v>
      </c>
      <c r="HA236" s="440"/>
      <c r="HB236" s="440"/>
      <c r="HC236" s="440"/>
      <c r="HD236" s="440"/>
      <c r="HE236" s="429">
        <f t="shared" si="55"/>
        <v>212</v>
      </c>
      <c r="HF236" s="429">
        <f>SUM(GW236*Baseline!$P$24,GX236*Baseline!$P$25,GY236*Baseline!$P$26,GZ236*Baseline!$P$27,HA236*Baseline!$P$28,HB236*Baseline!$P$29,HC236*Baseline!$P$30,HD236*Baseline!$P$31,Baseline!$P$23)</f>
        <v>626.18362874044828</v>
      </c>
      <c r="HG236" s="455" t="e">
        <f t="shared" si="56"/>
        <v>#DIV/0!</v>
      </c>
      <c r="HH236" s="429" t="e">
        <f>IF(HG236&lt;=Baseline!$J$13,1,0)</f>
        <v>#DIV/0!</v>
      </c>
      <c r="HI236" s="429">
        <f t="shared" si="57"/>
        <v>392105.93690255558</v>
      </c>
      <c r="HJ236" s="429">
        <f t="shared" si="52"/>
        <v>48910903.069173105</v>
      </c>
      <c r="HK236" s="429">
        <f t="shared" si="53"/>
        <v>58061606.033611111</v>
      </c>
      <c r="HL236" s="429" t="str">
        <f>IF(HM236=Reference!$I$12,(HF236-GV236),"")</f>
        <v/>
      </c>
      <c r="HM236" s="429" t="str">
        <f>Reference!I236</f>
        <v/>
      </c>
      <c r="HN236" s="429" t="str">
        <f t="shared" si="58"/>
        <v/>
      </c>
    </row>
    <row r="237" spans="189:222" ht="17.25" customHeight="1" x14ac:dyDescent="0.35">
      <c r="GG237" s="432"/>
      <c r="GJ237" s="429" t="str">
        <f>IF(GK237=$GJ$15,$GJ$15,IF(GJ$24=HF$4,SUM(GK$25:GK237),SUM(GL$25:GL237)))</f>
        <v>N</v>
      </c>
      <c r="GK237" s="438" t="str">
        <f>IFERROR('!!'!G237-'!!'!D237,$GJ$15)</f>
        <v>N</v>
      </c>
      <c r="GL237" s="429" t="str">
        <f t="shared" si="54"/>
        <v>N</v>
      </c>
      <c r="GM237" s="438">
        <f>IFERROR(('!!'!$D237)*('!!'!W237/('!!'!$G237)),0)</f>
        <v>0</v>
      </c>
      <c r="GN237" s="438">
        <f>IFERROR(('!!'!$D237)*('!!'!X237/('!!'!$G237)),0)</f>
        <v>0</v>
      </c>
      <c r="GO237" s="438">
        <f>IFERROR(('!!'!$D237)*('!!'!Y237/('!!'!$G237)),0)</f>
        <v>0</v>
      </c>
      <c r="GP237" s="438">
        <f>IFERROR(('!!'!$D237)*('!!'!Z236/('!!'!$G237)),0)</f>
        <v>0</v>
      </c>
      <c r="GQ237" s="438">
        <f>IFERROR(('!!'!$D237)*('!!'!Q237/('!!'!$G237)),0)</f>
        <v>0</v>
      </c>
      <c r="GR237" s="429">
        <v>1</v>
      </c>
      <c r="GS237" s="429">
        <v>2</v>
      </c>
      <c r="GT237" s="432">
        <f>Monitoring!C237</f>
        <v>0</v>
      </c>
      <c r="GU237" s="432">
        <f>Reference!$C237</f>
        <v>0</v>
      </c>
      <c r="GV237" s="429">
        <f>Reference!$D237</f>
        <v>0</v>
      </c>
      <c r="GW237" s="440">
        <f t="shared" si="60"/>
        <v>0</v>
      </c>
      <c r="GX237" s="440">
        <f t="shared" si="60"/>
        <v>0</v>
      </c>
      <c r="GY237" s="440">
        <f t="shared" si="60"/>
        <v>0</v>
      </c>
      <c r="GZ237" s="440">
        <f t="shared" si="60"/>
        <v>0</v>
      </c>
      <c r="HA237" s="440"/>
      <c r="HB237" s="440"/>
      <c r="HC237" s="440"/>
      <c r="HD237" s="440"/>
      <c r="HE237" s="429">
        <f t="shared" si="55"/>
        <v>213</v>
      </c>
      <c r="HF237" s="429">
        <f>SUM(GW237*Baseline!$P$24,GX237*Baseline!$P$25,GY237*Baseline!$P$26,GZ237*Baseline!$P$27,HA237*Baseline!$P$28,HB237*Baseline!$P$29,HC237*Baseline!$P$30,HD237*Baseline!$P$31,Baseline!$P$23)</f>
        <v>626.18362874044828</v>
      </c>
      <c r="HG237" s="455" t="e">
        <f t="shared" si="56"/>
        <v>#DIV/0!</v>
      </c>
      <c r="HH237" s="429" t="e">
        <f>IF(HG237&lt;=Baseline!$J$13,1,0)</f>
        <v>#DIV/0!</v>
      </c>
      <c r="HI237" s="429">
        <f t="shared" si="57"/>
        <v>392105.93690255558</v>
      </c>
      <c r="HJ237" s="429">
        <f t="shared" si="52"/>
        <v>48910903.069173105</v>
      </c>
      <c r="HK237" s="429">
        <f t="shared" si="53"/>
        <v>58061606.033611111</v>
      </c>
      <c r="HL237" s="429" t="str">
        <f>IF(HM237=Reference!$I$12,(HF237-GV237),"")</f>
        <v/>
      </c>
      <c r="HM237" s="429" t="str">
        <f>Reference!I237</f>
        <v/>
      </c>
      <c r="HN237" s="429" t="str">
        <f t="shared" si="58"/>
        <v/>
      </c>
    </row>
    <row r="238" spans="189:222" ht="17.25" customHeight="1" x14ac:dyDescent="0.35">
      <c r="GG238" s="432"/>
      <c r="GJ238" s="429" t="str">
        <f>IF(GK238=$GJ$15,$GJ$15,IF(GJ$24=HF$4,SUM(GK$25:GK238),SUM(GL$25:GL238)))</f>
        <v>N</v>
      </c>
      <c r="GK238" s="438" t="str">
        <f>IFERROR('!!'!G238-'!!'!D238,$GJ$15)</f>
        <v>N</v>
      </c>
      <c r="GL238" s="429" t="str">
        <f t="shared" si="54"/>
        <v>N</v>
      </c>
      <c r="GM238" s="438">
        <f>IFERROR(('!!'!$D238)*('!!'!W238/('!!'!$G238)),0)</f>
        <v>0</v>
      </c>
      <c r="GN238" s="438">
        <f>IFERROR(('!!'!$D238)*('!!'!X238/('!!'!$G238)),0)</f>
        <v>0</v>
      </c>
      <c r="GO238" s="438">
        <f>IFERROR(('!!'!$D238)*('!!'!Y238/('!!'!$G238)),0)</f>
        <v>0</v>
      </c>
      <c r="GP238" s="438">
        <f>IFERROR(('!!'!$D238)*('!!'!Z237/('!!'!$G238)),0)</f>
        <v>0</v>
      </c>
      <c r="GQ238" s="438">
        <f>IFERROR(('!!'!$D238)*('!!'!Q238/('!!'!$G238)),0)</f>
        <v>0</v>
      </c>
      <c r="GR238" s="429">
        <v>1</v>
      </c>
      <c r="GS238" s="429">
        <v>2</v>
      </c>
      <c r="GT238" s="432">
        <f>Monitoring!C238</f>
        <v>0</v>
      </c>
      <c r="GU238" s="432">
        <f>Reference!$C238</f>
        <v>0</v>
      </c>
      <c r="GV238" s="429">
        <f>Reference!$D238</f>
        <v>0</v>
      </c>
      <c r="GW238" s="440">
        <f t="shared" si="60"/>
        <v>0</v>
      </c>
      <c r="GX238" s="440">
        <f t="shared" si="60"/>
        <v>0</v>
      </c>
      <c r="GY238" s="440">
        <f t="shared" si="60"/>
        <v>0</v>
      </c>
      <c r="GZ238" s="440">
        <f t="shared" si="60"/>
        <v>0</v>
      </c>
      <c r="HA238" s="440"/>
      <c r="HB238" s="440"/>
      <c r="HC238" s="440"/>
      <c r="HD238" s="440"/>
      <c r="HE238" s="429">
        <f t="shared" si="55"/>
        <v>214</v>
      </c>
      <c r="HF238" s="429">
        <f>SUM(GW238*Baseline!$P$24,GX238*Baseline!$P$25,GY238*Baseline!$P$26,GZ238*Baseline!$P$27,HA238*Baseline!$P$28,HB238*Baseline!$P$29,HC238*Baseline!$P$30,HD238*Baseline!$P$31,Baseline!$P$23)</f>
        <v>626.18362874044828</v>
      </c>
      <c r="HG238" s="455" t="e">
        <f t="shared" si="56"/>
        <v>#DIV/0!</v>
      </c>
      <c r="HH238" s="429" t="e">
        <f>IF(HG238&lt;=Baseline!$J$13,1,0)</f>
        <v>#DIV/0!</v>
      </c>
      <c r="HI238" s="429">
        <f t="shared" si="57"/>
        <v>392105.93690255558</v>
      </c>
      <c r="HJ238" s="429">
        <f t="shared" si="52"/>
        <v>48910903.069173105</v>
      </c>
      <c r="HK238" s="429">
        <f t="shared" si="53"/>
        <v>58061606.033611111</v>
      </c>
      <c r="HL238" s="429" t="str">
        <f>IF(HM238=Reference!$I$12,(HF238-GV238),"")</f>
        <v/>
      </c>
      <c r="HM238" s="429" t="str">
        <f>Reference!I238</f>
        <v/>
      </c>
      <c r="HN238" s="429" t="str">
        <f t="shared" si="58"/>
        <v/>
      </c>
    </row>
    <row r="239" spans="189:222" ht="17.25" customHeight="1" x14ac:dyDescent="0.35">
      <c r="GG239" s="432"/>
      <c r="GJ239" s="429" t="str">
        <f>IF(GK239=$GJ$15,$GJ$15,IF(GJ$24=HF$4,SUM(GK$25:GK239),SUM(GL$25:GL239)))</f>
        <v>N</v>
      </c>
      <c r="GK239" s="438" t="str">
        <f>IFERROR('!!'!G239-'!!'!D239,$GJ$15)</f>
        <v>N</v>
      </c>
      <c r="GL239" s="429" t="str">
        <f t="shared" si="54"/>
        <v>N</v>
      </c>
      <c r="GM239" s="438">
        <f>IFERROR(('!!'!$D239)*('!!'!W239/('!!'!$G239)),0)</f>
        <v>0</v>
      </c>
      <c r="GN239" s="438">
        <f>IFERROR(('!!'!$D239)*('!!'!X239/('!!'!$G239)),0)</f>
        <v>0</v>
      </c>
      <c r="GO239" s="438">
        <f>IFERROR(('!!'!$D239)*('!!'!Y239/('!!'!$G239)),0)</f>
        <v>0</v>
      </c>
      <c r="GP239" s="438">
        <f>IFERROR(('!!'!$D239)*('!!'!Z238/('!!'!$G239)),0)</f>
        <v>0</v>
      </c>
      <c r="GQ239" s="438">
        <f>IFERROR(('!!'!$D239)*('!!'!Q239/('!!'!$G239)),0)</f>
        <v>0</v>
      </c>
      <c r="GR239" s="429">
        <v>1</v>
      </c>
      <c r="GS239" s="429">
        <v>2</v>
      </c>
      <c r="GT239" s="432">
        <f>Monitoring!C239</f>
        <v>0</v>
      </c>
      <c r="GU239" s="432">
        <f>Reference!$C239</f>
        <v>0</v>
      </c>
      <c r="GV239" s="429">
        <f>Reference!$D239</f>
        <v>0</v>
      </c>
      <c r="GW239" s="440">
        <f t="shared" si="60"/>
        <v>0</v>
      </c>
      <c r="GX239" s="440">
        <f t="shared" si="60"/>
        <v>0</v>
      </c>
      <c r="GY239" s="440">
        <f t="shared" si="60"/>
        <v>0</v>
      </c>
      <c r="GZ239" s="440">
        <f t="shared" si="60"/>
        <v>0</v>
      </c>
      <c r="HA239" s="440"/>
      <c r="HB239" s="440"/>
      <c r="HC239" s="440"/>
      <c r="HD239" s="440"/>
      <c r="HE239" s="429">
        <f t="shared" si="55"/>
        <v>215</v>
      </c>
      <c r="HF239" s="429">
        <f>SUM(GW239*Baseline!$P$24,GX239*Baseline!$P$25,GY239*Baseline!$P$26,GZ239*Baseline!$P$27,HA239*Baseline!$P$28,HB239*Baseline!$P$29,HC239*Baseline!$P$30,HD239*Baseline!$P$31,Baseline!$P$23)</f>
        <v>626.18362874044828</v>
      </c>
      <c r="HG239" s="455" t="e">
        <f t="shared" si="56"/>
        <v>#DIV/0!</v>
      </c>
      <c r="HH239" s="429" t="e">
        <f>IF(HG239&lt;=Baseline!$J$13,1,0)</f>
        <v>#DIV/0!</v>
      </c>
      <c r="HI239" s="429">
        <f t="shared" si="57"/>
        <v>392105.93690255558</v>
      </c>
      <c r="HJ239" s="429">
        <f t="shared" si="52"/>
        <v>48910903.069173105</v>
      </c>
      <c r="HK239" s="429">
        <f t="shared" si="53"/>
        <v>58061606.033611111</v>
      </c>
      <c r="HL239" s="429" t="str">
        <f>IF(HM239=Reference!$I$12,(HF239-GV239),"")</f>
        <v/>
      </c>
      <c r="HM239" s="429" t="str">
        <f>Reference!I239</f>
        <v/>
      </c>
      <c r="HN239" s="429" t="str">
        <f t="shared" si="58"/>
        <v/>
      </c>
    </row>
    <row r="240" spans="189:222" ht="17.25" customHeight="1" x14ac:dyDescent="0.35">
      <c r="GG240" s="432"/>
      <c r="GJ240" s="429" t="str">
        <f>IF(GK240=$GJ$15,$GJ$15,IF(GJ$24=HF$4,SUM(GK$25:GK240),SUM(GL$25:GL240)))</f>
        <v>N</v>
      </c>
      <c r="GK240" s="438" t="str">
        <f>IFERROR('!!'!G240-'!!'!D240,$GJ$15)</f>
        <v>N</v>
      </c>
      <c r="GL240" s="429" t="str">
        <f t="shared" si="54"/>
        <v>N</v>
      </c>
      <c r="GM240" s="438">
        <f>IFERROR(('!!'!$D240)*('!!'!W240/('!!'!$G240)),0)</f>
        <v>0</v>
      </c>
      <c r="GN240" s="438">
        <f>IFERROR(('!!'!$D240)*('!!'!X240/('!!'!$G240)),0)</f>
        <v>0</v>
      </c>
      <c r="GO240" s="438">
        <f>IFERROR(('!!'!$D240)*('!!'!Y240/('!!'!$G240)),0)</f>
        <v>0</v>
      </c>
      <c r="GP240" s="438">
        <f>IFERROR(('!!'!$D240)*('!!'!Z239/('!!'!$G240)),0)</f>
        <v>0</v>
      </c>
      <c r="GQ240" s="438">
        <f>IFERROR(('!!'!$D240)*('!!'!Q240/('!!'!$G240)),0)</f>
        <v>0</v>
      </c>
      <c r="GR240" s="429">
        <v>1</v>
      </c>
      <c r="GS240" s="429">
        <v>2</v>
      </c>
      <c r="GT240" s="432">
        <f>Monitoring!C240</f>
        <v>0</v>
      </c>
      <c r="GU240" s="432">
        <f>Reference!$C240</f>
        <v>0</v>
      </c>
      <c r="GV240" s="429">
        <f>Reference!$D240</f>
        <v>0</v>
      </c>
      <c r="GW240" s="440">
        <f t="shared" si="60"/>
        <v>0</v>
      </c>
      <c r="GX240" s="440">
        <f t="shared" si="60"/>
        <v>0</v>
      </c>
      <c r="GY240" s="440">
        <f t="shared" si="60"/>
        <v>0</v>
      </c>
      <c r="GZ240" s="440">
        <f t="shared" si="60"/>
        <v>0</v>
      </c>
      <c r="HA240" s="440"/>
      <c r="HB240" s="440"/>
      <c r="HC240" s="440"/>
      <c r="HD240" s="440"/>
      <c r="HE240" s="429">
        <f t="shared" si="55"/>
        <v>216</v>
      </c>
      <c r="HF240" s="429">
        <f>SUM(GW240*Baseline!$P$24,GX240*Baseline!$P$25,GY240*Baseline!$P$26,GZ240*Baseline!$P$27,HA240*Baseline!$P$28,HB240*Baseline!$P$29,HC240*Baseline!$P$30,HD240*Baseline!$P$31,Baseline!$P$23)</f>
        <v>626.18362874044828</v>
      </c>
      <c r="HG240" s="455" t="e">
        <f t="shared" si="56"/>
        <v>#DIV/0!</v>
      </c>
      <c r="HH240" s="429" t="e">
        <f>IF(HG240&lt;=Baseline!$J$13,1,0)</f>
        <v>#DIV/0!</v>
      </c>
      <c r="HI240" s="429">
        <f t="shared" si="57"/>
        <v>392105.93690255558</v>
      </c>
      <c r="HJ240" s="429">
        <f t="shared" si="52"/>
        <v>48910903.069173105</v>
      </c>
      <c r="HK240" s="429">
        <f t="shared" si="53"/>
        <v>58061606.033611111</v>
      </c>
      <c r="HL240" s="429" t="str">
        <f>IF(HM240=Reference!$I$12,(HF240-GV240),"")</f>
        <v/>
      </c>
      <c r="HM240" s="429" t="str">
        <f>Reference!I240</f>
        <v/>
      </c>
      <c r="HN240" s="429" t="str">
        <f t="shared" si="58"/>
        <v/>
      </c>
    </row>
    <row r="241" spans="189:222" ht="17.25" customHeight="1" x14ac:dyDescent="0.35">
      <c r="GG241" s="432"/>
      <c r="GJ241" s="429" t="str">
        <f>IF(GK241=$GJ$15,$GJ$15,IF(GJ$24=HF$4,SUM(GK$25:GK241),SUM(GL$25:GL241)))</f>
        <v>N</v>
      </c>
      <c r="GK241" s="438" t="str">
        <f>IFERROR('!!'!G241-'!!'!D241,$GJ$15)</f>
        <v>N</v>
      </c>
      <c r="GL241" s="429" t="str">
        <f t="shared" si="54"/>
        <v>N</v>
      </c>
      <c r="GM241" s="438">
        <f>IFERROR(('!!'!$D241)*('!!'!W241/('!!'!$G241)),0)</f>
        <v>0</v>
      </c>
      <c r="GN241" s="438">
        <f>IFERROR(('!!'!$D241)*('!!'!X241/('!!'!$G241)),0)</f>
        <v>0</v>
      </c>
      <c r="GO241" s="438">
        <f>IFERROR(('!!'!$D241)*('!!'!Y241/('!!'!$G241)),0)</f>
        <v>0</v>
      </c>
      <c r="GP241" s="438">
        <f>IFERROR(('!!'!$D241)*('!!'!Z240/('!!'!$G241)),0)</f>
        <v>0</v>
      </c>
      <c r="GQ241" s="438">
        <f>IFERROR(('!!'!$D241)*('!!'!Q241/('!!'!$G241)),0)</f>
        <v>0</v>
      </c>
      <c r="GR241" s="429">
        <v>1</v>
      </c>
      <c r="GS241" s="429">
        <v>2</v>
      </c>
      <c r="GT241" s="432">
        <f>Monitoring!C241</f>
        <v>0</v>
      </c>
      <c r="GU241" s="432">
        <f>Reference!$C241</f>
        <v>0</v>
      </c>
      <c r="GV241" s="429">
        <f>Reference!$D241</f>
        <v>0</v>
      </c>
      <c r="GW241" s="440">
        <f t="shared" si="60"/>
        <v>0</v>
      </c>
      <c r="GX241" s="440">
        <f t="shared" si="60"/>
        <v>0</v>
      </c>
      <c r="GY241" s="440">
        <f t="shared" si="60"/>
        <v>0</v>
      </c>
      <c r="GZ241" s="440">
        <f t="shared" si="60"/>
        <v>0</v>
      </c>
      <c r="HA241" s="440"/>
      <c r="HB241" s="440"/>
      <c r="HC241" s="440"/>
      <c r="HD241" s="440"/>
      <c r="HE241" s="429">
        <f t="shared" si="55"/>
        <v>217</v>
      </c>
      <c r="HF241" s="429">
        <f>SUM(GW241*Baseline!$P$24,GX241*Baseline!$P$25,GY241*Baseline!$P$26,GZ241*Baseline!$P$27,HA241*Baseline!$P$28,HB241*Baseline!$P$29,HC241*Baseline!$P$30,HD241*Baseline!$P$31,Baseline!$P$23)</f>
        <v>626.18362874044828</v>
      </c>
      <c r="HG241" s="455" t="e">
        <f t="shared" si="56"/>
        <v>#DIV/0!</v>
      </c>
      <c r="HH241" s="429" t="e">
        <f>IF(HG241&lt;=Baseline!$J$13,1,0)</f>
        <v>#DIV/0!</v>
      </c>
      <c r="HI241" s="429">
        <f t="shared" si="57"/>
        <v>392105.93690255558</v>
      </c>
      <c r="HJ241" s="429">
        <f t="shared" si="52"/>
        <v>48910903.069173105</v>
      </c>
      <c r="HK241" s="429">
        <f t="shared" si="53"/>
        <v>58061606.033611111</v>
      </c>
      <c r="HL241" s="429" t="str">
        <f>IF(HM241=Reference!$I$12,(HF241-GV241),"")</f>
        <v/>
      </c>
      <c r="HM241" s="429" t="str">
        <f>Reference!I241</f>
        <v/>
      </c>
      <c r="HN241" s="429" t="str">
        <f t="shared" si="58"/>
        <v/>
      </c>
    </row>
    <row r="242" spans="189:222" ht="17.25" customHeight="1" x14ac:dyDescent="0.35">
      <c r="GG242" s="432"/>
      <c r="GJ242" s="429" t="str">
        <f>IF(GK242=$GJ$15,$GJ$15,IF(GJ$24=HF$4,SUM(GK$25:GK242),SUM(GL$25:GL242)))</f>
        <v>N</v>
      </c>
      <c r="GK242" s="438" t="str">
        <f>IFERROR('!!'!G242-'!!'!D242,$GJ$15)</f>
        <v>N</v>
      </c>
      <c r="GL242" s="429" t="str">
        <f t="shared" si="54"/>
        <v>N</v>
      </c>
      <c r="GM242" s="438">
        <f>IFERROR(('!!'!$D242)*('!!'!W242/('!!'!$G242)),0)</f>
        <v>0</v>
      </c>
      <c r="GN242" s="438">
        <f>IFERROR(('!!'!$D242)*('!!'!X242/('!!'!$G242)),0)</f>
        <v>0</v>
      </c>
      <c r="GO242" s="438">
        <f>IFERROR(('!!'!$D242)*('!!'!Y242/('!!'!$G242)),0)</f>
        <v>0</v>
      </c>
      <c r="GP242" s="438">
        <f>IFERROR(('!!'!$D242)*('!!'!Z241/('!!'!$G242)),0)</f>
        <v>0</v>
      </c>
      <c r="GQ242" s="438">
        <f>IFERROR(('!!'!$D242)*('!!'!Q242/('!!'!$G242)),0)</f>
        <v>0</v>
      </c>
      <c r="GR242" s="429">
        <v>1</v>
      </c>
      <c r="GS242" s="429">
        <v>2</v>
      </c>
      <c r="GT242" s="432">
        <f>Monitoring!C242</f>
        <v>0</v>
      </c>
      <c r="GU242" s="432">
        <f>Reference!$C242</f>
        <v>0</v>
      </c>
      <c r="GV242" s="429">
        <f>Reference!$D242</f>
        <v>0</v>
      </c>
      <c r="GW242" s="440">
        <f t="shared" si="60"/>
        <v>0</v>
      </c>
      <c r="GX242" s="440">
        <f t="shared" si="60"/>
        <v>0</v>
      </c>
      <c r="GY242" s="440">
        <f t="shared" si="60"/>
        <v>0</v>
      </c>
      <c r="GZ242" s="440">
        <f t="shared" si="60"/>
        <v>0</v>
      </c>
      <c r="HA242" s="440"/>
      <c r="HB242" s="440"/>
      <c r="HC242" s="440"/>
      <c r="HD242" s="440"/>
      <c r="HE242" s="429">
        <f t="shared" si="55"/>
        <v>218</v>
      </c>
      <c r="HF242" s="429">
        <f>SUM(GW242*Baseline!$P$24,GX242*Baseline!$P$25,GY242*Baseline!$P$26,GZ242*Baseline!$P$27,HA242*Baseline!$P$28,HB242*Baseline!$P$29,HC242*Baseline!$P$30,HD242*Baseline!$P$31,Baseline!$P$23)</f>
        <v>626.18362874044828</v>
      </c>
      <c r="HG242" s="455" t="e">
        <f t="shared" si="56"/>
        <v>#DIV/0!</v>
      </c>
      <c r="HH242" s="429" t="e">
        <f>IF(HG242&lt;=Baseline!$J$13,1,0)</f>
        <v>#DIV/0!</v>
      </c>
      <c r="HI242" s="429">
        <f t="shared" si="57"/>
        <v>392105.93690255558</v>
      </c>
      <c r="HJ242" s="429">
        <f t="shared" si="52"/>
        <v>48910903.069173105</v>
      </c>
      <c r="HK242" s="429">
        <f t="shared" si="53"/>
        <v>58061606.033611111</v>
      </c>
      <c r="HL242" s="429" t="str">
        <f>IF(HM242=Reference!$I$12,(HF242-GV242),"")</f>
        <v/>
      </c>
      <c r="HM242" s="429" t="str">
        <f>Reference!I242</f>
        <v/>
      </c>
      <c r="HN242" s="429" t="str">
        <f t="shared" si="58"/>
        <v/>
      </c>
    </row>
    <row r="243" spans="189:222" ht="17.25" customHeight="1" x14ac:dyDescent="0.35">
      <c r="GG243" s="432"/>
      <c r="GJ243" s="429" t="str">
        <f>IF(GK243=$GJ$15,$GJ$15,IF(GJ$24=HF$4,SUM(GK$25:GK243),SUM(GL$25:GL243)))</f>
        <v>N</v>
      </c>
      <c r="GK243" s="438" t="str">
        <f>IFERROR('!!'!G243-'!!'!D243,$GJ$15)</f>
        <v>N</v>
      </c>
      <c r="GL243" s="429" t="str">
        <f t="shared" si="54"/>
        <v>N</v>
      </c>
      <c r="GM243" s="438">
        <f>IFERROR(('!!'!$D243)*('!!'!W243/('!!'!$G243)),0)</f>
        <v>0</v>
      </c>
      <c r="GN243" s="438">
        <f>IFERROR(('!!'!$D243)*('!!'!X243/('!!'!$G243)),0)</f>
        <v>0</v>
      </c>
      <c r="GO243" s="438">
        <f>IFERROR(('!!'!$D243)*('!!'!Y243/('!!'!$G243)),0)</f>
        <v>0</v>
      </c>
      <c r="GP243" s="438">
        <f>IFERROR(('!!'!$D243)*('!!'!Z242/('!!'!$G243)),0)</f>
        <v>0</v>
      </c>
      <c r="GQ243" s="438">
        <f>IFERROR(('!!'!$D243)*('!!'!Q243/('!!'!$G243)),0)</f>
        <v>0</v>
      </c>
      <c r="GR243" s="429">
        <v>1</v>
      </c>
      <c r="GS243" s="429">
        <v>2</v>
      </c>
      <c r="GT243" s="432">
        <f>Monitoring!C243</f>
        <v>0</v>
      </c>
      <c r="GU243" s="432">
        <f>Reference!$C243</f>
        <v>0</v>
      </c>
      <c r="GV243" s="429">
        <f>Reference!$D243</f>
        <v>0</v>
      </c>
      <c r="GW243" s="440">
        <f t="shared" si="60"/>
        <v>0</v>
      </c>
      <c r="GX243" s="440">
        <f t="shared" si="60"/>
        <v>0</v>
      </c>
      <c r="GY243" s="440">
        <f t="shared" si="60"/>
        <v>0</v>
      </c>
      <c r="GZ243" s="440">
        <f t="shared" si="60"/>
        <v>0</v>
      </c>
      <c r="HA243" s="440"/>
      <c r="HB243" s="440"/>
      <c r="HC243" s="440"/>
      <c r="HD243" s="440"/>
      <c r="HE243" s="429">
        <f t="shared" si="55"/>
        <v>219</v>
      </c>
      <c r="HF243" s="429">
        <f>SUM(GW243*Baseline!$P$24,GX243*Baseline!$P$25,GY243*Baseline!$P$26,GZ243*Baseline!$P$27,HA243*Baseline!$P$28,HB243*Baseline!$P$29,HC243*Baseline!$P$30,HD243*Baseline!$P$31,Baseline!$P$23)</f>
        <v>626.18362874044828</v>
      </c>
      <c r="HG243" s="455" t="e">
        <f t="shared" si="56"/>
        <v>#DIV/0!</v>
      </c>
      <c r="HH243" s="429" t="e">
        <f>IF(HG243&lt;=Baseline!$J$13,1,0)</f>
        <v>#DIV/0!</v>
      </c>
      <c r="HI243" s="429">
        <f t="shared" si="57"/>
        <v>392105.93690255558</v>
      </c>
      <c r="HJ243" s="429">
        <f t="shared" si="52"/>
        <v>48910903.069173105</v>
      </c>
      <c r="HK243" s="429">
        <f t="shared" si="53"/>
        <v>58061606.033611111</v>
      </c>
      <c r="HL243" s="429" t="str">
        <f>IF(HM243=Reference!$I$12,(HF243-GV243),"")</f>
        <v/>
      </c>
      <c r="HM243" s="429" t="str">
        <f>Reference!I243</f>
        <v/>
      </c>
      <c r="HN243" s="429" t="str">
        <f t="shared" si="58"/>
        <v/>
      </c>
    </row>
    <row r="244" spans="189:222" ht="17.25" customHeight="1" x14ac:dyDescent="0.35">
      <c r="GG244" s="432"/>
      <c r="GJ244" s="429" t="str">
        <f>IF(GK244=$GJ$15,$GJ$15,IF(GJ$24=HF$4,SUM(GK$25:GK244),SUM(GL$25:GL244)))</f>
        <v>N</v>
      </c>
      <c r="GK244" s="438" t="str">
        <f>IFERROR('!!'!G244-'!!'!D244,$GJ$15)</f>
        <v>N</v>
      </c>
      <c r="GL244" s="429" t="str">
        <f t="shared" si="54"/>
        <v>N</v>
      </c>
      <c r="GM244" s="438">
        <f>IFERROR(('!!'!$D244)*('!!'!W244/('!!'!$G244)),0)</f>
        <v>0</v>
      </c>
      <c r="GN244" s="438">
        <f>IFERROR(('!!'!$D244)*('!!'!X244/('!!'!$G244)),0)</f>
        <v>0</v>
      </c>
      <c r="GO244" s="438">
        <f>IFERROR(('!!'!$D244)*('!!'!Y244/('!!'!$G244)),0)</f>
        <v>0</v>
      </c>
      <c r="GP244" s="438">
        <f>IFERROR(('!!'!$D244)*('!!'!Z243/('!!'!$G244)),0)</f>
        <v>0</v>
      </c>
      <c r="GQ244" s="438">
        <f>IFERROR(('!!'!$D244)*('!!'!Q244/('!!'!$G244)),0)</f>
        <v>0</v>
      </c>
      <c r="GR244" s="429">
        <v>1</v>
      </c>
      <c r="GS244" s="429">
        <v>2</v>
      </c>
      <c r="GT244" s="432">
        <f>Monitoring!C244</f>
        <v>0</v>
      </c>
      <c r="GU244" s="432">
        <f>Reference!$C244</f>
        <v>0</v>
      </c>
      <c r="GV244" s="429">
        <f>Reference!$D244</f>
        <v>0</v>
      </c>
      <c r="GW244" s="440">
        <f t="shared" si="60"/>
        <v>0</v>
      </c>
      <c r="GX244" s="440">
        <f t="shared" si="60"/>
        <v>0</v>
      </c>
      <c r="GY244" s="440">
        <f t="shared" si="60"/>
        <v>0</v>
      </c>
      <c r="GZ244" s="440">
        <f t="shared" si="60"/>
        <v>0</v>
      </c>
      <c r="HA244" s="440"/>
      <c r="HB244" s="440"/>
      <c r="HC244" s="440"/>
      <c r="HD244" s="440"/>
      <c r="HE244" s="429">
        <f t="shared" si="55"/>
        <v>220</v>
      </c>
      <c r="HF244" s="429">
        <f>SUM(GW244*Baseline!$P$24,GX244*Baseline!$P$25,GY244*Baseline!$P$26,GZ244*Baseline!$P$27,HA244*Baseline!$P$28,HB244*Baseline!$P$29,HC244*Baseline!$P$30,HD244*Baseline!$P$31,Baseline!$P$23)</f>
        <v>626.18362874044828</v>
      </c>
      <c r="HG244" s="455" t="e">
        <f t="shared" si="56"/>
        <v>#DIV/0!</v>
      </c>
      <c r="HH244" s="429" t="e">
        <f>IF(HG244&lt;=Baseline!$J$13,1,0)</f>
        <v>#DIV/0!</v>
      </c>
      <c r="HI244" s="429">
        <f t="shared" si="57"/>
        <v>392105.93690255558</v>
      </c>
      <c r="HJ244" s="429">
        <f t="shared" si="52"/>
        <v>48910903.069173105</v>
      </c>
      <c r="HK244" s="429">
        <f t="shared" si="53"/>
        <v>58061606.033611111</v>
      </c>
      <c r="HL244" s="429" t="str">
        <f>IF(HM244=Reference!$I$12,(HF244-GV244),"")</f>
        <v/>
      </c>
      <c r="HM244" s="429" t="str">
        <f>Reference!I244</f>
        <v/>
      </c>
      <c r="HN244" s="429" t="str">
        <f t="shared" si="58"/>
        <v/>
      </c>
    </row>
    <row r="245" spans="189:222" ht="17.25" customHeight="1" x14ac:dyDescent="0.35">
      <c r="GG245" s="432"/>
      <c r="GJ245" s="429" t="str">
        <f>IF(GK245=$GJ$15,$GJ$15,IF(GJ$24=HF$4,SUM(GK$25:GK245),SUM(GL$25:GL245)))</f>
        <v>N</v>
      </c>
      <c r="GK245" s="438" t="str">
        <f>IFERROR('!!'!G245-'!!'!D245,$GJ$15)</f>
        <v>N</v>
      </c>
      <c r="GL245" s="429" t="str">
        <f t="shared" si="54"/>
        <v>N</v>
      </c>
      <c r="GM245" s="438">
        <f>IFERROR(('!!'!$D245)*('!!'!W245/('!!'!$G245)),0)</f>
        <v>0</v>
      </c>
      <c r="GN245" s="438">
        <f>IFERROR(('!!'!$D245)*('!!'!X245/('!!'!$G245)),0)</f>
        <v>0</v>
      </c>
      <c r="GO245" s="438">
        <f>IFERROR(('!!'!$D245)*('!!'!Y245/('!!'!$G245)),0)</f>
        <v>0</v>
      </c>
      <c r="GP245" s="438">
        <f>IFERROR(('!!'!$D245)*('!!'!Z244/('!!'!$G245)),0)</f>
        <v>0</v>
      </c>
      <c r="GQ245" s="438">
        <f>IFERROR(('!!'!$D245)*('!!'!Q245/('!!'!$G245)),0)</f>
        <v>0</v>
      </c>
      <c r="GR245" s="429">
        <v>1</v>
      </c>
      <c r="GS245" s="429">
        <v>2</v>
      </c>
      <c r="GT245" s="432">
        <f>Monitoring!C245</f>
        <v>0</v>
      </c>
      <c r="GU245" s="432">
        <f>Reference!$C245</f>
        <v>0</v>
      </c>
      <c r="GV245" s="429">
        <f>Reference!$D245</f>
        <v>0</v>
      </c>
      <c r="GW245" s="440">
        <f t="shared" ref="GW245:GZ254" si="61">IFERROR(VLOOKUP($GU245,Daten.B,GW$22,FALSE)^GW$23,0)</f>
        <v>0</v>
      </c>
      <c r="GX245" s="440">
        <f t="shared" si="61"/>
        <v>0</v>
      </c>
      <c r="GY245" s="440">
        <f t="shared" si="61"/>
        <v>0</v>
      </c>
      <c r="GZ245" s="440">
        <f t="shared" si="61"/>
        <v>0</v>
      </c>
      <c r="HA245" s="440"/>
      <c r="HB245" s="440"/>
      <c r="HC245" s="440"/>
      <c r="HD245" s="440"/>
      <c r="HE245" s="429">
        <f t="shared" si="55"/>
        <v>221</v>
      </c>
      <c r="HF245" s="429">
        <f>SUM(GW245*Baseline!$P$24,GX245*Baseline!$P$25,GY245*Baseline!$P$26,GZ245*Baseline!$P$27,HA245*Baseline!$P$28,HB245*Baseline!$P$29,HC245*Baseline!$P$30,HD245*Baseline!$P$31,Baseline!$P$23)</f>
        <v>626.18362874044828</v>
      </c>
      <c r="HG245" s="455" t="e">
        <f t="shared" si="56"/>
        <v>#DIV/0!</v>
      </c>
      <c r="HH245" s="429" t="e">
        <f>IF(HG245&lt;=Baseline!$J$13,1,0)</f>
        <v>#DIV/0!</v>
      </c>
      <c r="HI245" s="429">
        <f t="shared" si="57"/>
        <v>392105.93690255558</v>
      </c>
      <c r="HJ245" s="429">
        <f t="shared" si="52"/>
        <v>48910903.069173105</v>
      </c>
      <c r="HK245" s="429">
        <f t="shared" si="53"/>
        <v>58061606.033611111</v>
      </c>
      <c r="HL245" s="429" t="str">
        <f>IF(HM245=Reference!$I$12,(HF245-GV245),"")</f>
        <v/>
      </c>
      <c r="HM245" s="429" t="str">
        <f>Reference!I245</f>
        <v/>
      </c>
      <c r="HN245" s="429" t="str">
        <f t="shared" si="58"/>
        <v/>
      </c>
    </row>
    <row r="246" spans="189:222" ht="17.25" customHeight="1" x14ac:dyDescent="0.35">
      <c r="GG246" s="432"/>
      <c r="GJ246" s="429" t="str">
        <f>IF(GK246=$GJ$15,$GJ$15,IF(GJ$24=HF$4,SUM(GK$25:GK246),SUM(GL$25:GL246)))</f>
        <v>N</v>
      </c>
      <c r="GK246" s="438" t="str">
        <f>IFERROR('!!'!G246-'!!'!D246,$GJ$15)</f>
        <v>N</v>
      </c>
      <c r="GL246" s="429" t="str">
        <f t="shared" si="54"/>
        <v>N</v>
      </c>
      <c r="GM246" s="438">
        <f>IFERROR(('!!'!$D246)*('!!'!W246/('!!'!$G246)),0)</f>
        <v>0</v>
      </c>
      <c r="GN246" s="438">
        <f>IFERROR(('!!'!$D246)*('!!'!X246/('!!'!$G246)),0)</f>
        <v>0</v>
      </c>
      <c r="GO246" s="438">
        <f>IFERROR(('!!'!$D246)*('!!'!Y246/('!!'!$G246)),0)</f>
        <v>0</v>
      </c>
      <c r="GP246" s="438">
        <f>IFERROR(('!!'!$D246)*('!!'!Z245/('!!'!$G246)),0)</f>
        <v>0</v>
      </c>
      <c r="GQ246" s="438">
        <f>IFERROR(('!!'!$D246)*('!!'!Q246/('!!'!$G246)),0)</f>
        <v>0</v>
      </c>
      <c r="GR246" s="429">
        <v>1</v>
      </c>
      <c r="GS246" s="429">
        <v>2</v>
      </c>
      <c r="GT246" s="432">
        <f>Monitoring!C246</f>
        <v>0</v>
      </c>
      <c r="GU246" s="432">
        <f>Reference!$C246</f>
        <v>0</v>
      </c>
      <c r="GV246" s="429">
        <f>Reference!$D246</f>
        <v>0</v>
      </c>
      <c r="GW246" s="440">
        <f t="shared" si="61"/>
        <v>0</v>
      </c>
      <c r="GX246" s="440">
        <f t="shared" si="61"/>
        <v>0</v>
      </c>
      <c r="GY246" s="440">
        <f t="shared" si="61"/>
        <v>0</v>
      </c>
      <c r="GZ246" s="440">
        <f t="shared" si="61"/>
        <v>0</v>
      </c>
      <c r="HA246" s="440"/>
      <c r="HB246" s="440"/>
      <c r="HC246" s="440"/>
      <c r="HD246" s="440"/>
      <c r="HE246" s="429">
        <f t="shared" si="55"/>
        <v>222</v>
      </c>
      <c r="HF246" s="429">
        <f>SUM(GW246*Baseline!$P$24,GX246*Baseline!$P$25,GY246*Baseline!$P$26,GZ246*Baseline!$P$27,HA246*Baseline!$P$28,HB246*Baseline!$P$29,HC246*Baseline!$P$30,HD246*Baseline!$P$31,Baseline!$P$23)</f>
        <v>626.18362874044828</v>
      </c>
      <c r="HG246" s="455" t="e">
        <f t="shared" si="56"/>
        <v>#DIV/0!</v>
      </c>
      <c r="HH246" s="429" t="e">
        <f>IF(HG246&lt;=Baseline!$J$13,1,0)</f>
        <v>#DIV/0!</v>
      </c>
      <c r="HI246" s="429">
        <f t="shared" si="57"/>
        <v>392105.93690255558</v>
      </c>
      <c r="HJ246" s="429">
        <f t="shared" si="52"/>
        <v>48910903.069173105</v>
      </c>
      <c r="HK246" s="429">
        <f t="shared" si="53"/>
        <v>58061606.033611111</v>
      </c>
      <c r="HL246" s="429" t="str">
        <f>IF(HM246=Reference!$I$12,(HF246-GV246),"")</f>
        <v/>
      </c>
      <c r="HM246" s="429" t="str">
        <f>Reference!I246</f>
        <v/>
      </c>
      <c r="HN246" s="429" t="str">
        <f t="shared" si="58"/>
        <v/>
      </c>
    </row>
    <row r="247" spans="189:222" ht="17.25" customHeight="1" x14ac:dyDescent="0.35">
      <c r="GG247" s="432"/>
      <c r="GJ247" s="429" t="str">
        <f>IF(GK247=$GJ$15,$GJ$15,IF(GJ$24=HF$4,SUM(GK$25:GK247),SUM(GL$25:GL247)))</f>
        <v>N</v>
      </c>
      <c r="GK247" s="438" t="str">
        <f>IFERROR('!!'!G247-'!!'!D247,$GJ$15)</f>
        <v>N</v>
      </c>
      <c r="GL247" s="429" t="str">
        <f t="shared" si="54"/>
        <v>N</v>
      </c>
      <c r="GM247" s="438">
        <f>IFERROR(('!!'!$D247)*('!!'!W247/('!!'!$G247)),0)</f>
        <v>0</v>
      </c>
      <c r="GN247" s="438">
        <f>IFERROR(('!!'!$D247)*('!!'!X247/('!!'!$G247)),0)</f>
        <v>0</v>
      </c>
      <c r="GO247" s="438">
        <f>IFERROR(('!!'!$D247)*('!!'!Y247/('!!'!$G247)),0)</f>
        <v>0</v>
      </c>
      <c r="GP247" s="438">
        <f>IFERROR(('!!'!$D247)*('!!'!Z246/('!!'!$G247)),0)</f>
        <v>0</v>
      </c>
      <c r="GQ247" s="438">
        <f>IFERROR(('!!'!$D247)*('!!'!Q247/('!!'!$G247)),0)</f>
        <v>0</v>
      </c>
      <c r="GR247" s="429">
        <v>1</v>
      </c>
      <c r="GS247" s="429">
        <v>2</v>
      </c>
      <c r="GT247" s="432">
        <f>Monitoring!C247</f>
        <v>0</v>
      </c>
      <c r="GU247" s="432">
        <f>Reference!$C247</f>
        <v>0</v>
      </c>
      <c r="GV247" s="429">
        <f>Reference!$D247</f>
        <v>0</v>
      </c>
      <c r="GW247" s="440">
        <f t="shared" si="61"/>
        <v>0</v>
      </c>
      <c r="GX247" s="440">
        <f t="shared" si="61"/>
        <v>0</v>
      </c>
      <c r="GY247" s="440">
        <f t="shared" si="61"/>
        <v>0</v>
      </c>
      <c r="GZ247" s="440">
        <f t="shared" si="61"/>
        <v>0</v>
      </c>
      <c r="HA247" s="440"/>
      <c r="HB247" s="440"/>
      <c r="HC247" s="440"/>
      <c r="HD247" s="440"/>
      <c r="HE247" s="429">
        <f t="shared" si="55"/>
        <v>223</v>
      </c>
      <c r="HF247" s="429">
        <f>SUM(GW247*Baseline!$P$24,GX247*Baseline!$P$25,GY247*Baseline!$P$26,GZ247*Baseline!$P$27,HA247*Baseline!$P$28,HB247*Baseline!$P$29,HC247*Baseline!$P$30,HD247*Baseline!$P$31,Baseline!$P$23)</f>
        <v>626.18362874044828</v>
      </c>
      <c r="HG247" s="455" t="e">
        <f t="shared" si="56"/>
        <v>#DIV/0!</v>
      </c>
      <c r="HH247" s="429" t="e">
        <f>IF(HG247&lt;=Baseline!$J$13,1,0)</f>
        <v>#DIV/0!</v>
      </c>
      <c r="HI247" s="429">
        <f t="shared" si="57"/>
        <v>392105.93690255558</v>
      </c>
      <c r="HJ247" s="429">
        <f t="shared" si="52"/>
        <v>48910903.069173105</v>
      </c>
      <c r="HK247" s="429">
        <f t="shared" si="53"/>
        <v>58061606.033611111</v>
      </c>
      <c r="HL247" s="429" t="str">
        <f>IF(HM247=Reference!$I$12,(HF247-GV247),"")</f>
        <v/>
      </c>
      <c r="HM247" s="429" t="str">
        <f>Reference!I247</f>
        <v/>
      </c>
      <c r="HN247" s="429" t="str">
        <f t="shared" si="58"/>
        <v/>
      </c>
    </row>
    <row r="248" spans="189:222" ht="17.25" customHeight="1" x14ac:dyDescent="0.35">
      <c r="GG248" s="432"/>
      <c r="GJ248" s="429" t="str">
        <f>IF(GK248=$GJ$15,$GJ$15,IF(GJ$24=HF$4,SUM(GK$25:GK248),SUM(GL$25:GL248)))</f>
        <v>N</v>
      </c>
      <c r="GK248" s="438" t="str">
        <f>IFERROR('!!'!G248-'!!'!D248,$GJ$15)</f>
        <v>N</v>
      </c>
      <c r="GL248" s="429" t="str">
        <f t="shared" si="54"/>
        <v>N</v>
      </c>
      <c r="GM248" s="438">
        <f>IFERROR(('!!'!$D248)*('!!'!W248/('!!'!$G248)),0)</f>
        <v>0</v>
      </c>
      <c r="GN248" s="438">
        <f>IFERROR(('!!'!$D248)*('!!'!X248/('!!'!$G248)),0)</f>
        <v>0</v>
      </c>
      <c r="GO248" s="438">
        <f>IFERROR(('!!'!$D248)*('!!'!Y248/('!!'!$G248)),0)</f>
        <v>0</v>
      </c>
      <c r="GP248" s="438">
        <f>IFERROR(('!!'!$D248)*('!!'!Z247/('!!'!$G248)),0)</f>
        <v>0</v>
      </c>
      <c r="GQ248" s="438">
        <f>IFERROR(('!!'!$D248)*('!!'!Q248/('!!'!$G248)),0)</f>
        <v>0</v>
      </c>
      <c r="GR248" s="429">
        <v>1</v>
      </c>
      <c r="GS248" s="429">
        <v>2</v>
      </c>
      <c r="GT248" s="432">
        <f>Monitoring!C248</f>
        <v>0</v>
      </c>
      <c r="GU248" s="432">
        <f>Reference!$C248</f>
        <v>0</v>
      </c>
      <c r="GV248" s="429">
        <f>Reference!$D248</f>
        <v>0</v>
      </c>
      <c r="GW248" s="440">
        <f t="shared" si="61"/>
        <v>0</v>
      </c>
      <c r="GX248" s="440">
        <f t="shared" si="61"/>
        <v>0</v>
      </c>
      <c r="GY248" s="440">
        <f t="shared" si="61"/>
        <v>0</v>
      </c>
      <c r="GZ248" s="440">
        <f t="shared" si="61"/>
        <v>0</v>
      </c>
      <c r="HA248" s="440"/>
      <c r="HB248" s="440"/>
      <c r="HC248" s="440"/>
      <c r="HD248" s="440"/>
      <c r="HE248" s="429">
        <f t="shared" si="55"/>
        <v>224</v>
      </c>
      <c r="HF248" s="429">
        <f>SUM(GW248*Baseline!$P$24,GX248*Baseline!$P$25,GY248*Baseline!$P$26,GZ248*Baseline!$P$27,HA248*Baseline!$P$28,HB248*Baseline!$P$29,HC248*Baseline!$P$30,HD248*Baseline!$P$31,Baseline!$P$23)</f>
        <v>626.18362874044828</v>
      </c>
      <c r="HG248" s="455" t="e">
        <f t="shared" si="56"/>
        <v>#DIV/0!</v>
      </c>
      <c r="HH248" s="429" t="e">
        <f>IF(HG248&lt;=Baseline!$J$13,1,0)</f>
        <v>#DIV/0!</v>
      </c>
      <c r="HI248" s="429">
        <f t="shared" si="57"/>
        <v>392105.93690255558</v>
      </c>
      <c r="HJ248" s="429">
        <f t="shared" si="52"/>
        <v>48910903.069173105</v>
      </c>
      <c r="HK248" s="429">
        <f t="shared" si="53"/>
        <v>58061606.033611111</v>
      </c>
      <c r="HL248" s="429" t="str">
        <f>IF(HM248=Reference!$I$12,(HF248-GV248),"")</f>
        <v/>
      </c>
      <c r="HM248" s="429" t="str">
        <f>Reference!I248</f>
        <v/>
      </c>
      <c r="HN248" s="429" t="str">
        <f t="shared" si="58"/>
        <v/>
      </c>
    </row>
    <row r="249" spans="189:222" ht="17.25" customHeight="1" x14ac:dyDescent="0.35">
      <c r="GG249" s="432"/>
      <c r="GJ249" s="429" t="str">
        <f>IF(GK249=$GJ$15,$GJ$15,IF(GJ$24=HF$4,SUM(GK$25:GK249),SUM(GL$25:GL249)))</f>
        <v>N</v>
      </c>
      <c r="GK249" s="438" t="str">
        <f>IFERROR('!!'!G249-'!!'!D249,$GJ$15)</f>
        <v>N</v>
      </c>
      <c r="GL249" s="429" t="str">
        <f t="shared" si="54"/>
        <v>N</v>
      </c>
      <c r="GM249" s="438">
        <f>IFERROR(('!!'!$D249)*('!!'!W249/('!!'!$G249)),0)</f>
        <v>0</v>
      </c>
      <c r="GN249" s="438">
        <f>IFERROR(('!!'!$D249)*('!!'!X249/('!!'!$G249)),0)</f>
        <v>0</v>
      </c>
      <c r="GO249" s="438">
        <f>IFERROR(('!!'!$D249)*('!!'!Y249/('!!'!$G249)),0)</f>
        <v>0</v>
      </c>
      <c r="GP249" s="438">
        <f>IFERROR(('!!'!$D249)*('!!'!Z248/('!!'!$G249)),0)</f>
        <v>0</v>
      </c>
      <c r="GQ249" s="438">
        <f>IFERROR(('!!'!$D249)*('!!'!Q249/('!!'!$G249)),0)</f>
        <v>0</v>
      </c>
      <c r="GR249" s="429">
        <v>1</v>
      </c>
      <c r="GS249" s="429">
        <v>2</v>
      </c>
      <c r="GT249" s="432">
        <f>Monitoring!C249</f>
        <v>0</v>
      </c>
      <c r="GU249" s="432">
        <f>Reference!$C249</f>
        <v>0</v>
      </c>
      <c r="GV249" s="429">
        <f>Reference!$D249</f>
        <v>0</v>
      </c>
      <c r="GW249" s="440">
        <f t="shared" si="61"/>
        <v>0</v>
      </c>
      <c r="GX249" s="440">
        <f t="shared" si="61"/>
        <v>0</v>
      </c>
      <c r="GY249" s="440">
        <f t="shared" si="61"/>
        <v>0</v>
      </c>
      <c r="GZ249" s="440">
        <f t="shared" si="61"/>
        <v>0</v>
      </c>
      <c r="HA249" s="440"/>
      <c r="HB249" s="440"/>
      <c r="HC249" s="440"/>
      <c r="HD249" s="440"/>
      <c r="HE249" s="429">
        <f t="shared" si="55"/>
        <v>225</v>
      </c>
      <c r="HF249" s="429">
        <f>SUM(GW249*Baseline!$P$24,GX249*Baseline!$P$25,GY249*Baseline!$P$26,GZ249*Baseline!$P$27,HA249*Baseline!$P$28,HB249*Baseline!$P$29,HC249*Baseline!$P$30,HD249*Baseline!$P$31,Baseline!$P$23)</f>
        <v>626.18362874044828</v>
      </c>
      <c r="HG249" s="455" t="e">
        <f t="shared" si="56"/>
        <v>#DIV/0!</v>
      </c>
      <c r="HH249" s="429" t="e">
        <f>IF(HG249&lt;=Baseline!$J$13,1,0)</f>
        <v>#DIV/0!</v>
      </c>
      <c r="HI249" s="429">
        <f t="shared" si="57"/>
        <v>392105.93690255558</v>
      </c>
      <c r="HJ249" s="429">
        <f t="shared" si="52"/>
        <v>48910903.069173105</v>
      </c>
      <c r="HK249" s="429">
        <f t="shared" si="53"/>
        <v>58061606.033611111</v>
      </c>
      <c r="HL249" s="429" t="str">
        <f>IF(HM249=Reference!$I$12,(HF249-GV249),"")</f>
        <v/>
      </c>
      <c r="HM249" s="429" t="str">
        <f>Reference!I249</f>
        <v/>
      </c>
      <c r="HN249" s="429" t="str">
        <f t="shared" si="58"/>
        <v/>
      </c>
    </row>
    <row r="250" spans="189:222" ht="17.25" customHeight="1" x14ac:dyDescent="0.35">
      <c r="GG250" s="432"/>
      <c r="GJ250" s="429" t="str">
        <f>IF(GK250=$GJ$15,$GJ$15,IF(GJ$24=HF$4,SUM(GK$25:GK250),SUM(GL$25:GL250)))</f>
        <v>N</v>
      </c>
      <c r="GK250" s="438" t="str">
        <f>IFERROR('!!'!G250-'!!'!D250,$GJ$15)</f>
        <v>N</v>
      </c>
      <c r="GL250" s="429" t="str">
        <f t="shared" si="54"/>
        <v>N</v>
      </c>
      <c r="GM250" s="438">
        <f>IFERROR(('!!'!$D250)*('!!'!W250/('!!'!$G250)),0)</f>
        <v>0</v>
      </c>
      <c r="GN250" s="438">
        <f>IFERROR(('!!'!$D250)*('!!'!X250/('!!'!$G250)),0)</f>
        <v>0</v>
      </c>
      <c r="GO250" s="438">
        <f>IFERROR(('!!'!$D250)*('!!'!Y250/('!!'!$G250)),0)</f>
        <v>0</v>
      </c>
      <c r="GP250" s="438">
        <f>IFERROR(('!!'!$D250)*('!!'!Z249/('!!'!$G250)),0)</f>
        <v>0</v>
      </c>
      <c r="GQ250" s="438">
        <f>IFERROR(('!!'!$D250)*('!!'!Q250/('!!'!$G250)),0)</f>
        <v>0</v>
      </c>
      <c r="GR250" s="429">
        <v>1</v>
      </c>
      <c r="GS250" s="429">
        <v>2</v>
      </c>
      <c r="GT250" s="432">
        <f>Monitoring!C250</f>
        <v>0</v>
      </c>
      <c r="GU250" s="432">
        <f>Reference!$C250</f>
        <v>0</v>
      </c>
      <c r="GV250" s="429">
        <f>Reference!$D250</f>
        <v>0</v>
      </c>
      <c r="GW250" s="440">
        <f t="shared" si="61"/>
        <v>0</v>
      </c>
      <c r="GX250" s="440">
        <f t="shared" si="61"/>
        <v>0</v>
      </c>
      <c r="GY250" s="440">
        <f t="shared" si="61"/>
        <v>0</v>
      </c>
      <c r="GZ250" s="440">
        <f t="shared" si="61"/>
        <v>0</v>
      </c>
      <c r="HA250" s="440"/>
      <c r="HB250" s="440"/>
      <c r="HC250" s="440"/>
      <c r="HD250" s="440"/>
      <c r="HE250" s="429">
        <f t="shared" si="55"/>
        <v>226</v>
      </c>
      <c r="HF250" s="429">
        <f>SUM(GW250*Baseline!$P$24,GX250*Baseline!$P$25,GY250*Baseline!$P$26,GZ250*Baseline!$P$27,HA250*Baseline!$P$28,HB250*Baseline!$P$29,HC250*Baseline!$P$30,HD250*Baseline!$P$31,Baseline!$P$23)</f>
        <v>626.18362874044828</v>
      </c>
      <c r="HG250" s="455" t="e">
        <f t="shared" si="56"/>
        <v>#DIV/0!</v>
      </c>
      <c r="HH250" s="429" t="e">
        <f>IF(HG250&lt;=Baseline!$J$13,1,0)</f>
        <v>#DIV/0!</v>
      </c>
      <c r="HI250" s="429">
        <f t="shared" si="57"/>
        <v>392105.93690255558</v>
      </c>
      <c r="HJ250" s="429">
        <f t="shared" si="52"/>
        <v>48910903.069173105</v>
      </c>
      <c r="HK250" s="429">
        <f t="shared" si="53"/>
        <v>58061606.033611111</v>
      </c>
      <c r="HL250" s="429" t="str">
        <f>IF(HM250=Reference!$I$12,(HF250-GV250),"")</f>
        <v/>
      </c>
      <c r="HM250" s="429" t="str">
        <f>Reference!I250</f>
        <v/>
      </c>
      <c r="HN250" s="429" t="str">
        <f t="shared" si="58"/>
        <v/>
      </c>
    </row>
    <row r="251" spans="189:222" ht="17.25" customHeight="1" x14ac:dyDescent="0.35">
      <c r="GG251" s="432"/>
      <c r="GJ251" s="429" t="str">
        <f>IF(GK251=$GJ$15,$GJ$15,IF(GJ$24=HF$4,SUM(GK$25:GK251),SUM(GL$25:GL251)))</f>
        <v>N</v>
      </c>
      <c r="GK251" s="438" t="str">
        <f>IFERROR('!!'!G251-'!!'!D251,$GJ$15)</f>
        <v>N</v>
      </c>
      <c r="GL251" s="429" t="str">
        <f t="shared" si="54"/>
        <v>N</v>
      </c>
      <c r="GM251" s="438">
        <f>IFERROR(('!!'!$D251)*('!!'!W251/('!!'!$G251)),0)</f>
        <v>0</v>
      </c>
      <c r="GN251" s="438">
        <f>IFERROR(('!!'!$D251)*('!!'!X251/('!!'!$G251)),0)</f>
        <v>0</v>
      </c>
      <c r="GO251" s="438">
        <f>IFERROR(('!!'!$D251)*('!!'!Y251/('!!'!$G251)),0)</f>
        <v>0</v>
      </c>
      <c r="GP251" s="438">
        <f>IFERROR(('!!'!$D251)*('!!'!Z250/('!!'!$G251)),0)</f>
        <v>0</v>
      </c>
      <c r="GQ251" s="438">
        <f>IFERROR(('!!'!$D251)*('!!'!Q251/('!!'!$G251)),0)</f>
        <v>0</v>
      </c>
      <c r="GR251" s="429">
        <v>1</v>
      </c>
      <c r="GS251" s="429">
        <v>2</v>
      </c>
      <c r="GT251" s="432">
        <f>Monitoring!C251</f>
        <v>0</v>
      </c>
      <c r="GU251" s="432">
        <f>Reference!$C251</f>
        <v>0</v>
      </c>
      <c r="GV251" s="429">
        <f>Reference!$D251</f>
        <v>0</v>
      </c>
      <c r="GW251" s="440">
        <f t="shared" si="61"/>
        <v>0</v>
      </c>
      <c r="GX251" s="440">
        <f t="shared" si="61"/>
        <v>0</v>
      </c>
      <c r="GY251" s="440">
        <f t="shared" si="61"/>
        <v>0</v>
      </c>
      <c r="GZ251" s="440">
        <f t="shared" si="61"/>
        <v>0</v>
      </c>
      <c r="HA251" s="440"/>
      <c r="HB251" s="440"/>
      <c r="HC251" s="440"/>
      <c r="HD251" s="440"/>
      <c r="HE251" s="429">
        <f t="shared" si="55"/>
        <v>227</v>
      </c>
      <c r="HF251" s="429">
        <f>SUM(GW251*Baseline!$P$24,GX251*Baseline!$P$25,GY251*Baseline!$P$26,GZ251*Baseline!$P$27,HA251*Baseline!$P$28,HB251*Baseline!$P$29,HC251*Baseline!$P$30,HD251*Baseline!$P$31,Baseline!$P$23)</f>
        <v>626.18362874044828</v>
      </c>
      <c r="HG251" s="455" t="e">
        <f t="shared" si="56"/>
        <v>#DIV/0!</v>
      </c>
      <c r="HH251" s="429" t="e">
        <f>IF(HG251&lt;=Baseline!$J$13,1,0)</f>
        <v>#DIV/0!</v>
      </c>
      <c r="HI251" s="429">
        <f t="shared" si="57"/>
        <v>392105.93690255558</v>
      </c>
      <c r="HJ251" s="429">
        <f t="shared" si="52"/>
        <v>48910903.069173105</v>
      </c>
      <c r="HK251" s="429">
        <f t="shared" si="53"/>
        <v>58061606.033611111</v>
      </c>
      <c r="HL251" s="429" t="str">
        <f>IF(HM251=Reference!$I$12,(HF251-GV251),"")</f>
        <v/>
      </c>
      <c r="HM251" s="429" t="str">
        <f>Reference!I251</f>
        <v/>
      </c>
      <c r="HN251" s="429" t="str">
        <f t="shared" si="58"/>
        <v/>
      </c>
    </row>
    <row r="252" spans="189:222" ht="17.25" customHeight="1" x14ac:dyDescent="0.35">
      <c r="GG252" s="432"/>
      <c r="GJ252" s="429" t="str">
        <f>IF(GK252=$GJ$15,$GJ$15,IF(GJ$24=HF$4,SUM(GK$25:GK252),SUM(GL$25:GL252)))</f>
        <v>N</v>
      </c>
      <c r="GK252" s="438" t="str">
        <f>IFERROR('!!'!G252-'!!'!D252,$GJ$15)</f>
        <v>N</v>
      </c>
      <c r="GL252" s="429" t="str">
        <f t="shared" si="54"/>
        <v>N</v>
      </c>
      <c r="GM252" s="438">
        <f>IFERROR(('!!'!$D252)*('!!'!W252/('!!'!$G252)),0)</f>
        <v>0</v>
      </c>
      <c r="GN252" s="438">
        <f>IFERROR(('!!'!$D252)*('!!'!X252/('!!'!$G252)),0)</f>
        <v>0</v>
      </c>
      <c r="GO252" s="438">
        <f>IFERROR(('!!'!$D252)*('!!'!Y252/('!!'!$G252)),0)</f>
        <v>0</v>
      </c>
      <c r="GP252" s="438">
        <f>IFERROR(('!!'!$D252)*('!!'!Z251/('!!'!$G252)),0)</f>
        <v>0</v>
      </c>
      <c r="GQ252" s="438">
        <f>IFERROR(('!!'!$D252)*('!!'!Q252/('!!'!$G252)),0)</f>
        <v>0</v>
      </c>
      <c r="GR252" s="429">
        <v>1</v>
      </c>
      <c r="GS252" s="429">
        <v>2</v>
      </c>
      <c r="GT252" s="432">
        <f>Monitoring!C252</f>
        <v>0</v>
      </c>
      <c r="GU252" s="432">
        <f>Reference!$C252</f>
        <v>0</v>
      </c>
      <c r="GV252" s="429">
        <f>Reference!$D252</f>
        <v>0</v>
      </c>
      <c r="GW252" s="440">
        <f t="shared" si="61"/>
        <v>0</v>
      </c>
      <c r="GX252" s="440">
        <f t="shared" si="61"/>
        <v>0</v>
      </c>
      <c r="GY252" s="440">
        <f t="shared" si="61"/>
        <v>0</v>
      </c>
      <c r="GZ252" s="440">
        <f t="shared" si="61"/>
        <v>0</v>
      </c>
      <c r="HA252" s="440"/>
      <c r="HB252" s="440"/>
      <c r="HC252" s="440"/>
      <c r="HD252" s="440"/>
      <c r="HE252" s="429">
        <f t="shared" si="55"/>
        <v>228</v>
      </c>
      <c r="HF252" s="429">
        <f>SUM(GW252*Baseline!$P$24,GX252*Baseline!$P$25,GY252*Baseline!$P$26,GZ252*Baseline!$P$27,HA252*Baseline!$P$28,HB252*Baseline!$P$29,HC252*Baseline!$P$30,HD252*Baseline!$P$31,Baseline!$P$23)</f>
        <v>626.18362874044828</v>
      </c>
      <c r="HG252" s="455" t="e">
        <f t="shared" si="56"/>
        <v>#DIV/0!</v>
      </c>
      <c r="HH252" s="429" t="e">
        <f>IF(HG252&lt;=Baseline!$J$13,1,0)</f>
        <v>#DIV/0!</v>
      </c>
      <c r="HI252" s="429">
        <f t="shared" si="57"/>
        <v>392105.93690255558</v>
      </c>
      <c r="HJ252" s="429">
        <f t="shared" si="52"/>
        <v>48910903.069173105</v>
      </c>
      <c r="HK252" s="429">
        <f t="shared" si="53"/>
        <v>58061606.033611111</v>
      </c>
      <c r="HL252" s="429" t="str">
        <f>IF(HM252=Reference!$I$12,(HF252-GV252),"")</f>
        <v/>
      </c>
      <c r="HM252" s="429" t="str">
        <f>Reference!I252</f>
        <v/>
      </c>
      <c r="HN252" s="429" t="str">
        <f t="shared" si="58"/>
        <v/>
      </c>
    </row>
    <row r="253" spans="189:222" ht="17.25" customHeight="1" x14ac:dyDescent="0.35">
      <c r="GG253" s="432"/>
      <c r="GJ253" s="429" t="str">
        <f>IF(GK253=$GJ$15,$GJ$15,IF(GJ$24=HF$4,SUM(GK$25:GK253),SUM(GL$25:GL253)))</f>
        <v>N</v>
      </c>
      <c r="GK253" s="438" t="str">
        <f>IFERROR('!!'!G253-'!!'!D253,$GJ$15)</f>
        <v>N</v>
      </c>
      <c r="GL253" s="429" t="str">
        <f t="shared" si="54"/>
        <v>N</v>
      </c>
      <c r="GM253" s="438">
        <f>IFERROR(('!!'!$D253)*('!!'!W253/('!!'!$G253)),0)</f>
        <v>0</v>
      </c>
      <c r="GN253" s="438">
        <f>IFERROR(('!!'!$D253)*('!!'!X253/('!!'!$G253)),0)</f>
        <v>0</v>
      </c>
      <c r="GO253" s="438">
        <f>IFERROR(('!!'!$D253)*('!!'!Y253/('!!'!$G253)),0)</f>
        <v>0</v>
      </c>
      <c r="GP253" s="438">
        <f>IFERROR(('!!'!$D253)*('!!'!Z252/('!!'!$G253)),0)</f>
        <v>0</v>
      </c>
      <c r="GQ253" s="438">
        <f>IFERROR(('!!'!$D253)*('!!'!Q253/('!!'!$G253)),0)</f>
        <v>0</v>
      </c>
      <c r="GR253" s="429">
        <v>1</v>
      </c>
      <c r="GS253" s="429">
        <v>2</v>
      </c>
      <c r="GT253" s="432">
        <f>Monitoring!C253</f>
        <v>0</v>
      </c>
      <c r="GU253" s="432">
        <f>Reference!$C253</f>
        <v>0</v>
      </c>
      <c r="GV253" s="429">
        <f>Reference!$D253</f>
        <v>0</v>
      </c>
      <c r="GW253" s="440">
        <f t="shared" si="61"/>
        <v>0</v>
      </c>
      <c r="GX253" s="440">
        <f t="shared" si="61"/>
        <v>0</v>
      </c>
      <c r="GY253" s="440">
        <f t="shared" si="61"/>
        <v>0</v>
      </c>
      <c r="GZ253" s="440">
        <f t="shared" si="61"/>
        <v>0</v>
      </c>
      <c r="HA253" s="440"/>
      <c r="HB253" s="440"/>
      <c r="HC253" s="440"/>
      <c r="HD253" s="440"/>
      <c r="HE253" s="429">
        <f t="shared" si="55"/>
        <v>229</v>
      </c>
      <c r="HF253" s="429">
        <f>SUM(GW253*Baseline!$P$24,GX253*Baseline!$P$25,GY253*Baseline!$P$26,GZ253*Baseline!$P$27,HA253*Baseline!$P$28,HB253*Baseline!$P$29,HC253*Baseline!$P$30,HD253*Baseline!$P$31,Baseline!$P$23)</f>
        <v>626.18362874044828</v>
      </c>
      <c r="HG253" s="455" t="e">
        <f t="shared" si="56"/>
        <v>#DIV/0!</v>
      </c>
      <c r="HH253" s="429" t="e">
        <f>IF(HG253&lt;=Baseline!$J$13,1,0)</f>
        <v>#DIV/0!</v>
      </c>
      <c r="HI253" s="429">
        <f t="shared" si="57"/>
        <v>392105.93690255558</v>
      </c>
      <c r="HJ253" s="429">
        <f t="shared" si="52"/>
        <v>48910903.069173105</v>
      </c>
      <c r="HK253" s="429">
        <f t="shared" si="53"/>
        <v>58061606.033611111</v>
      </c>
      <c r="HL253" s="429" t="str">
        <f>IF(HM253=Reference!$I$12,(HF253-GV253),"")</f>
        <v/>
      </c>
      <c r="HM253" s="429" t="str">
        <f>Reference!I253</f>
        <v/>
      </c>
      <c r="HN253" s="429" t="str">
        <f t="shared" si="58"/>
        <v/>
      </c>
    </row>
    <row r="254" spans="189:222" ht="17.25" customHeight="1" x14ac:dyDescent="0.35">
      <c r="GG254" s="432"/>
      <c r="GJ254" s="429" t="str">
        <f>IF(GK254=$GJ$15,$GJ$15,IF(GJ$24=HF$4,SUM(GK$25:GK254),SUM(GL$25:GL254)))</f>
        <v>N</v>
      </c>
      <c r="GK254" s="438" t="str">
        <f>IFERROR('!!'!G254-'!!'!D254,$GJ$15)</f>
        <v>N</v>
      </c>
      <c r="GL254" s="429" t="str">
        <f t="shared" si="54"/>
        <v>N</v>
      </c>
      <c r="GM254" s="438">
        <f>IFERROR(('!!'!$D254)*('!!'!W254/('!!'!$G254)),0)</f>
        <v>0</v>
      </c>
      <c r="GN254" s="438">
        <f>IFERROR(('!!'!$D254)*('!!'!X254/('!!'!$G254)),0)</f>
        <v>0</v>
      </c>
      <c r="GO254" s="438">
        <f>IFERROR(('!!'!$D254)*('!!'!Y254/('!!'!$G254)),0)</f>
        <v>0</v>
      </c>
      <c r="GP254" s="438">
        <f>IFERROR(('!!'!$D254)*('!!'!Z253/('!!'!$G254)),0)</f>
        <v>0</v>
      </c>
      <c r="GQ254" s="438">
        <f>IFERROR(('!!'!$D254)*('!!'!Q254/('!!'!$G254)),0)</f>
        <v>0</v>
      </c>
      <c r="GR254" s="429">
        <v>1</v>
      </c>
      <c r="GS254" s="429">
        <v>2</v>
      </c>
      <c r="GT254" s="432">
        <f>Monitoring!C254</f>
        <v>0</v>
      </c>
      <c r="GU254" s="432">
        <f>Reference!$C254</f>
        <v>0</v>
      </c>
      <c r="GV254" s="429">
        <f>Reference!$D254</f>
        <v>0</v>
      </c>
      <c r="GW254" s="440">
        <f t="shared" si="61"/>
        <v>0</v>
      </c>
      <c r="GX254" s="440">
        <f t="shared" si="61"/>
        <v>0</v>
      </c>
      <c r="GY254" s="440">
        <f t="shared" si="61"/>
        <v>0</v>
      </c>
      <c r="GZ254" s="440">
        <f t="shared" si="61"/>
        <v>0</v>
      </c>
      <c r="HA254" s="440"/>
      <c r="HB254" s="440"/>
      <c r="HC254" s="440"/>
      <c r="HD254" s="440"/>
      <c r="HE254" s="429">
        <f t="shared" si="55"/>
        <v>230</v>
      </c>
      <c r="HF254" s="429">
        <f>SUM(GW254*Baseline!$P$24,GX254*Baseline!$P$25,GY254*Baseline!$P$26,GZ254*Baseline!$P$27,HA254*Baseline!$P$28,HB254*Baseline!$P$29,HC254*Baseline!$P$30,HD254*Baseline!$P$31,Baseline!$P$23)</f>
        <v>626.18362874044828</v>
      </c>
      <c r="HG254" s="455" t="e">
        <f t="shared" si="56"/>
        <v>#DIV/0!</v>
      </c>
      <c r="HH254" s="429" t="e">
        <f>IF(HG254&lt;=Baseline!$J$13,1,0)</f>
        <v>#DIV/0!</v>
      </c>
      <c r="HI254" s="429">
        <f t="shared" si="57"/>
        <v>392105.93690255558</v>
      </c>
      <c r="HJ254" s="429">
        <f t="shared" si="52"/>
        <v>48910903.069173105</v>
      </c>
      <c r="HK254" s="429">
        <f t="shared" si="53"/>
        <v>58061606.033611111</v>
      </c>
      <c r="HL254" s="429" t="str">
        <f>IF(HM254=Reference!$I$12,(HF254-GV254),"")</f>
        <v/>
      </c>
      <c r="HM254" s="429" t="str">
        <f>Reference!I254</f>
        <v/>
      </c>
      <c r="HN254" s="429" t="str">
        <f t="shared" si="58"/>
        <v/>
      </c>
    </row>
    <row r="255" spans="189:222" ht="17.25" customHeight="1" x14ac:dyDescent="0.35">
      <c r="GG255" s="432"/>
      <c r="GJ255" s="429" t="str">
        <f>IF(GK255=$GJ$15,$GJ$15,IF(GJ$24=HF$4,SUM(GK$25:GK255),SUM(GL$25:GL255)))</f>
        <v>N</v>
      </c>
      <c r="GK255" s="438" t="str">
        <f>IFERROR('!!'!G255-'!!'!D255,$GJ$15)</f>
        <v>N</v>
      </c>
      <c r="GL255" s="429" t="str">
        <f t="shared" si="54"/>
        <v>N</v>
      </c>
      <c r="GM255" s="438">
        <f>IFERROR(('!!'!$D255)*('!!'!W255/('!!'!$G255)),0)</f>
        <v>0</v>
      </c>
      <c r="GN255" s="438">
        <f>IFERROR(('!!'!$D255)*('!!'!X255/('!!'!$G255)),0)</f>
        <v>0</v>
      </c>
      <c r="GO255" s="438">
        <f>IFERROR(('!!'!$D255)*('!!'!Y255/('!!'!$G255)),0)</f>
        <v>0</v>
      </c>
      <c r="GP255" s="438">
        <f>IFERROR(('!!'!$D255)*('!!'!Z254/('!!'!$G255)),0)</f>
        <v>0</v>
      </c>
      <c r="GQ255" s="438">
        <f>IFERROR(('!!'!$D255)*('!!'!Q255/('!!'!$G255)),0)</f>
        <v>0</v>
      </c>
      <c r="GR255" s="429">
        <v>1</v>
      </c>
      <c r="GS255" s="429">
        <v>2</v>
      </c>
      <c r="GT255" s="432">
        <f>Monitoring!C255</f>
        <v>0</v>
      </c>
      <c r="GU255" s="432">
        <f>Reference!$C255</f>
        <v>0</v>
      </c>
      <c r="GV255" s="429">
        <f>Reference!$D255</f>
        <v>0</v>
      </c>
      <c r="GW255" s="440">
        <f t="shared" ref="GW255:GZ264" si="62">IFERROR(VLOOKUP($GU255,Daten.B,GW$22,FALSE)^GW$23,0)</f>
        <v>0</v>
      </c>
      <c r="GX255" s="440">
        <f t="shared" si="62"/>
        <v>0</v>
      </c>
      <c r="GY255" s="440">
        <f t="shared" si="62"/>
        <v>0</v>
      </c>
      <c r="GZ255" s="440">
        <f t="shared" si="62"/>
        <v>0</v>
      </c>
      <c r="HA255" s="440"/>
      <c r="HB255" s="440"/>
      <c r="HC255" s="440"/>
      <c r="HD255" s="440"/>
      <c r="HE255" s="429">
        <f t="shared" si="55"/>
        <v>231</v>
      </c>
      <c r="HF255" s="429">
        <f>SUM(GW255*Baseline!$P$24,GX255*Baseline!$P$25,GY255*Baseline!$P$26,GZ255*Baseline!$P$27,HA255*Baseline!$P$28,HB255*Baseline!$P$29,HC255*Baseline!$P$30,HD255*Baseline!$P$31,Baseline!$P$23)</f>
        <v>626.18362874044828</v>
      </c>
      <c r="HG255" s="455" t="e">
        <f t="shared" si="56"/>
        <v>#DIV/0!</v>
      </c>
      <c r="HH255" s="429" t="e">
        <f>IF(HG255&lt;=Baseline!$J$13,1,0)</f>
        <v>#DIV/0!</v>
      </c>
      <c r="HI255" s="429">
        <f t="shared" si="57"/>
        <v>392105.93690255558</v>
      </c>
      <c r="HJ255" s="429">
        <f t="shared" si="52"/>
        <v>48910903.069173105</v>
      </c>
      <c r="HK255" s="429">
        <f t="shared" si="53"/>
        <v>58061606.033611111</v>
      </c>
      <c r="HL255" s="429" t="str">
        <f>IF(HM255=Reference!$I$12,(HF255-GV255),"")</f>
        <v/>
      </c>
      <c r="HM255" s="429" t="str">
        <f>Reference!I255</f>
        <v/>
      </c>
      <c r="HN255" s="429" t="str">
        <f t="shared" si="58"/>
        <v/>
      </c>
    </row>
    <row r="256" spans="189:222" ht="17.25" customHeight="1" x14ac:dyDescent="0.35">
      <c r="GG256" s="432"/>
      <c r="GJ256" s="429" t="str">
        <f>IF(GK256=$GJ$15,$GJ$15,IF(GJ$24=HF$4,SUM(GK$25:GK256),SUM(GL$25:GL256)))</f>
        <v>N</v>
      </c>
      <c r="GK256" s="438" t="str">
        <f>IFERROR('!!'!G256-'!!'!D256,$GJ$15)</f>
        <v>N</v>
      </c>
      <c r="GL256" s="429" t="str">
        <f t="shared" si="54"/>
        <v>N</v>
      </c>
      <c r="GM256" s="438">
        <f>IFERROR(('!!'!$D256)*('!!'!W256/('!!'!$G256)),0)</f>
        <v>0</v>
      </c>
      <c r="GN256" s="438">
        <f>IFERROR(('!!'!$D256)*('!!'!X256/('!!'!$G256)),0)</f>
        <v>0</v>
      </c>
      <c r="GO256" s="438">
        <f>IFERROR(('!!'!$D256)*('!!'!Y256/('!!'!$G256)),0)</f>
        <v>0</v>
      </c>
      <c r="GP256" s="438">
        <f>IFERROR(('!!'!$D256)*('!!'!Z255/('!!'!$G256)),0)</f>
        <v>0</v>
      </c>
      <c r="GQ256" s="438">
        <f>IFERROR(('!!'!$D256)*('!!'!Q256/('!!'!$G256)),0)</f>
        <v>0</v>
      </c>
      <c r="GR256" s="429">
        <v>1</v>
      </c>
      <c r="GS256" s="429">
        <v>2</v>
      </c>
      <c r="GT256" s="432">
        <f>Monitoring!C256</f>
        <v>0</v>
      </c>
      <c r="GU256" s="432">
        <f>Reference!$C256</f>
        <v>0</v>
      </c>
      <c r="GV256" s="429">
        <f>Reference!$D256</f>
        <v>0</v>
      </c>
      <c r="GW256" s="440">
        <f t="shared" si="62"/>
        <v>0</v>
      </c>
      <c r="GX256" s="440">
        <f t="shared" si="62"/>
        <v>0</v>
      </c>
      <c r="GY256" s="440">
        <f t="shared" si="62"/>
        <v>0</v>
      </c>
      <c r="GZ256" s="440">
        <f t="shared" si="62"/>
        <v>0</v>
      </c>
      <c r="HA256" s="440"/>
      <c r="HB256" s="440"/>
      <c r="HC256" s="440"/>
      <c r="HD256" s="440"/>
      <c r="HE256" s="429">
        <f t="shared" si="55"/>
        <v>232</v>
      </c>
      <c r="HF256" s="429">
        <f>SUM(GW256*Baseline!$P$24,GX256*Baseline!$P$25,GY256*Baseline!$P$26,GZ256*Baseline!$P$27,HA256*Baseline!$P$28,HB256*Baseline!$P$29,HC256*Baseline!$P$30,HD256*Baseline!$P$31,Baseline!$P$23)</f>
        <v>626.18362874044828</v>
      </c>
      <c r="HG256" s="455" t="e">
        <f t="shared" si="56"/>
        <v>#DIV/0!</v>
      </c>
      <c r="HH256" s="429" t="e">
        <f>IF(HG256&lt;=Baseline!$J$13,1,0)</f>
        <v>#DIV/0!</v>
      </c>
      <c r="HI256" s="429">
        <f t="shared" si="57"/>
        <v>392105.93690255558</v>
      </c>
      <c r="HJ256" s="429">
        <f t="shared" si="52"/>
        <v>48910903.069173105</v>
      </c>
      <c r="HK256" s="429">
        <f t="shared" si="53"/>
        <v>58061606.033611111</v>
      </c>
      <c r="HL256" s="429" t="str">
        <f>IF(HM256=Reference!$I$12,(HF256-GV256),"")</f>
        <v/>
      </c>
      <c r="HM256" s="429" t="str">
        <f>Reference!I256</f>
        <v/>
      </c>
      <c r="HN256" s="429" t="str">
        <f t="shared" si="58"/>
        <v/>
      </c>
    </row>
    <row r="257" spans="189:222" ht="17.25" customHeight="1" x14ac:dyDescent="0.35">
      <c r="GG257" s="432"/>
      <c r="GJ257" s="429" t="str">
        <f>IF(GK257=$GJ$15,$GJ$15,IF(GJ$24=HF$4,SUM(GK$25:GK257),SUM(GL$25:GL257)))</f>
        <v>N</v>
      </c>
      <c r="GK257" s="438" t="str">
        <f>IFERROR('!!'!G257-'!!'!D257,$GJ$15)</f>
        <v>N</v>
      </c>
      <c r="GL257" s="429" t="str">
        <f t="shared" si="54"/>
        <v>N</v>
      </c>
      <c r="GM257" s="438">
        <f>IFERROR(('!!'!$D257)*('!!'!W257/('!!'!$G257)),0)</f>
        <v>0</v>
      </c>
      <c r="GN257" s="438">
        <f>IFERROR(('!!'!$D257)*('!!'!X257/('!!'!$G257)),0)</f>
        <v>0</v>
      </c>
      <c r="GO257" s="438">
        <f>IFERROR(('!!'!$D257)*('!!'!Y257/('!!'!$G257)),0)</f>
        <v>0</v>
      </c>
      <c r="GP257" s="438">
        <f>IFERROR(('!!'!$D257)*('!!'!Z256/('!!'!$G257)),0)</f>
        <v>0</v>
      </c>
      <c r="GQ257" s="438">
        <f>IFERROR(('!!'!$D257)*('!!'!Q257/('!!'!$G257)),0)</f>
        <v>0</v>
      </c>
      <c r="GR257" s="429">
        <v>1</v>
      </c>
      <c r="GS257" s="429">
        <v>2</v>
      </c>
      <c r="GT257" s="432">
        <f>Monitoring!C257</f>
        <v>0</v>
      </c>
      <c r="GU257" s="432">
        <f>Reference!$C257</f>
        <v>0</v>
      </c>
      <c r="GV257" s="429">
        <f>Reference!$D257</f>
        <v>0</v>
      </c>
      <c r="GW257" s="440">
        <f t="shared" si="62"/>
        <v>0</v>
      </c>
      <c r="GX257" s="440">
        <f t="shared" si="62"/>
        <v>0</v>
      </c>
      <c r="GY257" s="440">
        <f t="shared" si="62"/>
        <v>0</v>
      </c>
      <c r="GZ257" s="440">
        <f t="shared" si="62"/>
        <v>0</v>
      </c>
      <c r="HA257" s="440"/>
      <c r="HB257" s="440"/>
      <c r="HC257" s="440"/>
      <c r="HD257" s="440"/>
      <c r="HE257" s="429">
        <f t="shared" si="55"/>
        <v>233</v>
      </c>
      <c r="HF257" s="429">
        <f>SUM(GW257*Baseline!$P$24,GX257*Baseline!$P$25,GY257*Baseline!$P$26,GZ257*Baseline!$P$27,HA257*Baseline!$P$28,HB257*Baseline!$P$29,HC257*Baseline!$P$30,HD257*Baseline!$P$31,Baseline!$P$23)</f>
        <v>626.18362874044828</v>
      </c>
      <c r="HG257" s="455" t="e">
        <f t="shared" si="56"/>
        <v>#DIV/0!</v>
      </c>
      <c r="HH257" s="429" t="e">
        <f>IF(HG257&lt;=Baseline!$J$13,1,0)</f>
        <v>#DIV/0!</v>
      </c>
      <c r="HI257" s="429">
        <f t="shared" si="57"/>
        <v>392105.93690255558</v>
      </c>
      <c r="HJ257" s="429">
        <f t="shared" si="52"/>
        <v>48910903.069173105</v>
      </c>
      <c r="HK257" s="429">
        <f t="shared" si="53"/>
        <v>58061606.033611111</v>
      </c>
      <c r="HL257" s="429" t="str">
        <f>IF(HM257=Reference!$I$12,(HF257-GV257),"")</f>
        <v/>
      </c>
      <c r="HM257" s="429" t="str">
        <f>Reference!I257</f>
        <v/>
      </c>
      <c r="HN257" s="429" t="str">
        <f t="shared" si="58"/>
        <v/>
      </c>
    </row>
    <row r="258" spans="189:222" ht="17.25" customHeight="1" x14ac:dyDescent="0.35">
      <c r="GG258" s="432"/>
      <c r="GJ258" s="429" t="str">
        <f>IF(GK258=$GJ$15,$GJ$15,IF(GJ$24=HF$4,SUM(GK$25:GK258),SUM(GL$25:GL258)))</f>
        <v>N</v>
      </c>
      <c r="GK258" s="438" t="str">
        <f>IFERROR('!!'!G258-'!!'!D258,$GJ$15)</f>
        <v>N</v>
      </c>
      <c r="GL258" s="429" t="str">
        <f t="shared" si="54"/>
        <v>N</v>
      </c>
      <c r="GM258" s="438">
        <f>IFERROR(('!!'!$D258)*('!!'!W258/('!!'!$G258)),0)</f>
        <v>0</v>
      </c>
      <c r="GN258" s="438">
        <f>IFERROR(('!!'!$D258)*('!!'!X258/('!!'!$G258)),0)</f>
        <v>0</v>
      </c>
      <c r="GO258" s="438">
        <f>IFERROR(('!!'!$D258)*('!!'!Y258/('!!'!$G258)),0)</f>
        <v>0</v>
      </c>
      <c r="GP258" s="438">
        <f>IFERROR(('!!'!$D258)*('!!'!Z257/('!!'!$G258)),0)</f>
        <v>0</v>
      </c>
      <c r="GQ258" s="438">
        <f>IFERROR(('!!'!$D258)*('!!'!Q258/('!!'!$G258)),0)</f>
        <v>0</v>
      </c>
      <c r="GR258" s="429">
        <v>1</v>
      </c>
      <c r="GS258" s="429">
        <v>2</v>
      </c>
      <c r="GT258" s="432">
        <f>Monitoring!C258</f>
        <v>0</v>
      </c>
      <c r="GU258" s="432">
        <f>Reference!$C258</f>
        <v>0</v>
      </c>
      <c r="GV258" s="429">
        <f>Reference!$D258</f>
        <v>0</v>
      </c>
      <c r="GW258" s="440">
        <f t="shared" si="62"/>
        <v>0</v>
      </c>
      <c r="GX258" s="440">
        <f t="shared" si="62"/>
        <v>0</v>
      </c>
      <c r="GY258" s="440">
        <f t="shared" si="62"/>
        <v>0</v>
      </c>
      <c r="GZ258" s="440">
        <f t="shared" si="62"/>
        <v>0</v>
      </c>
      <c r="HA258" s="440"/>
      <c r="HB258" s="440"/>
      <c r="HC258" s="440"/>
      <c r="HD258" s="440"/>
      <c r="HE258" s="429">
        <f t="shared" si="55"/>
        <v>234</v>
      </c>
      <c r="HF258" s="429">
        <f>SUM(GW258*Baseline!$P$24,GX258*Baseline!$P$25,GY258*Baseline!$P$26,GZ258*Baseline!$P$27,HA258*Baseline!$P$28,HB258*Baseline!$P$29,HC258*Baseline!$P$30,HD258*Baseline!$P$31,Baseline!$P$23)</f>
        <v>626.18362874044828</v>
      </c>
      <c r="HG258" s="455" t="e">
        <f t="shared" si="56"/>
        <v>#DIV/0!</v>
      </c>
      <c r="HH258" s="429" t="e">
        <f>IF(HG258&lt;=Baseline!$J$13,1,0)</f>
        <v>#DIV/0!</v>
      </c>
      <c r="HI258" s="429">
        <f t="shared" si="57"/>
        <v>392105.93690255558</v>
      </c>
      <c r="HJ258" s="429">
        <f t="shared" si="52"/>
        <v>48910903.069173105</v>
      </c>
      <c r="HK258" s="429">
        <f t="shared" si="53"/>
        <v>58061606.033611111</v>
      </c>
      <c r="HL258" s="429" t="str">
        <f>IF(HM258=Reference!$I$12,(HF258-GV258),"")</f>
        <v/>
      </c>
      <c r="HM258" s="429" t="str">
        <f>Reference!I258</f>
        <v/>
      </c>
      <c r="HN258" s="429" t="str">
        <f t="shared" si="58"/>
        <v/>
      </c>
    </row>
    <row r="259" spans="189:222" ht="17.25" customHeight="1" x14ac:dyDescent="0.35">
      <c r="GG259" s="432"/>
      <c r="GJ259" s="429" t="str">
        <f>IF(GK259=$GJ$15,$GJ$15,IF(GJ$24=HF$4,SUM(GK$25:GK259),SUM(GL$25:GL259)))</f>
        <v>N</v>
      </c>
      <c r="GK259" s="438" t="str">
        <f>IFERROR('!!'!G259-'!!'!D259,$GJ$15)</f>
        <v>N</v>
      </c>
      <c r="GL259" s="429" t="str">
        <f t="shared" si="54"/>
        <v>N</v>
      </c>
      <c r="GM259" s="438">
        <f>IFERROR(('!!'!$D259)*('!!'!W259/('!!'!$G259)),0)</f>
        <v>0</v>
      </c>
      <c r="GN259" s="438">
        <f>IFERROR(('!!'!$D259)*('!!'!X259/('!!'!$G259)),0)</f>
        <v>0</v>
      </c>
      <c r="GO259" s="438">
        <f>IFERROR(('!!'!$D259)*('!!'!Y259/('!!'!$G259)),0)</f>
        <v>0</v>
      </c>
      <c r="GP259" s="438">
        <f>IFERROR(('!!'!$D259)*('!!'!Z258/('!!'!$G259)),0)</f>
        <v>0</v>
      </c>
      <c r="GQ259" s="438">
        <f>IFERROR(('!!'!$D259)*('!!'!Q259/('!!'!$G259)),0)</f>
        <v>0</v>
      </c>
      <c r="GR259" s="429">
        <v>1</v>
      </c>
      <c r="GS259" s="429">
        <v>2</v>
      </c>
      <c r="GT259" s="432">
        <f>Monitoring!C259</f>
        <v>0</v>
      </c>
      <c r="GU259" s="432">
        <f>Reference!$C259</f>
        <v>0</v>
      </c>
      <c r="GV259" s="429">
        <f>Reference!$D259</f>
        <v>0</v>
      </c>
      <c r="GW259" s="440">
        <f t="shared" si="62"/>
        <v>0</v>
      </c>
      <c r="GX259" s="440">
        <f t="shared" si="62"/>
        <v>0</v>
      </c>
      <c r="GY259" s="440">
        <f t="shared" si="62"/>
        <v>0</v>
      </c>
      <c r="GZ259" s="440">
        <f t="shared" si="62"/>
        <v>0</v>
      </c>
      <c r="HA259" s="440"/>
      <c r="HB259" s="440"/>
      <c r="HC259" s="440"/>
      <c r="HD259" s="440"/>
      <c r="HE259" s="429">
        <f t="shared" si="55"/>
        <v>235</v>
      </c>
      <c r="HF259" s="429">
        <f>SUM(GW259*Baseline!$P$24,GX259*Baseline!$P$25,GY259*Baseline!$P$26,GZ259*Baseline!$P$27,HA259*Baseline!$P$28,HB259*Baseline!$P$29,HC259*Baseline!$P$30,HD259*Baseline!$P$31,Baseline!$P$23)</f>
        <v>626.18362874044828</v>
      </c>
      <c r="HG259" s="455" t="e">
        <f t="shared" si="56"/>
        <v>#DIV/0!</v>
      </c>
      <c r="HH259" s="429" t="e">
        <f>IF(HG259&lt;=Baseline!$J$13,1,0)</f>
        <v>#DIV/0!</v>
      </c>
      <c r="HI259" s="429">
        <f t="shared" si="57"/>
        <v>392105.93690255558</v>
      </c>
      <c r="HJ259" s="429">
        <f t="shared" si="52"/>
        <v>48910903.069173105</v>
      </c>
      <c r="HK259" s="429">
        <f t="shared" si="53"/>
        <v>58061606.033611111</v>
      </c>
      <c r="HL259" s="429" t="str">
        <f>IF(HM259=Reference!$I$12,(HF259-GV259),"")</f>
        <v/>
      </c>
      <c r="HM259" s="429" t="str">
        <f>Reference!I259</f>
        <v/>
      </c>
      <c r="HN259" s="429" t="str">
        <f t="shared" si="58"/>
        <v/>
      </c>
    </row>
    <row r="260" spans="189:222" ht="17.25" customHeight="1" x14ac:dyDescent="0.35">
      <c r="GG260" s="432"/>
      <c r="GJ260" s="429" t="str">
        <f>IF(GK260=$GJ$15,$GJ$15,IF(GJ$24=HF$4,SUM(GK$25:GK260),SUM(GL$25:GL260)))</f>
        <v>N</v>
      </c>
      <c r="GK260" s="438" t="str">
        <f>IFERROR('!!'!G260-'!!'!D260,$GJ$15)</f>
        <v>N</v>
      </c>
      <c r="GL260" s="429" t="str">
        <f t="shared" si="54"/>
        <v>N</v>
      </c>
      <c r="GM260" s="438">
        <f>IFERROR(('!!'!$D260)*('!!'!W260/('!!'!$G260)),0)</f>
        <v>0</v>
      </c>
      <c r="GN260" s="438">
        <f>IFERROR(('!!'!$D260)*('!!'!X260/('!!'!$G260)),0)</f>
        <v>0</v>
      </c>
      <c r="GO260" s="438">
        <f>IFERROR(('!!'!$D260)*('!!'!Y260/('!!'!$G260)),0)</f>
        <v>0</v>
      </c>
      <c r="GP260" s="438">
        <f>IFERROR(('!!'!$D260)*('!!'!Z259/('!!'!$G260)),0)</f>
        <v>0</v>
      </c>
      <c r="GQ260" s="438">
        <f>IFERROR(('!!'!$D260)*('!!'!Q260/('!!'!$G260)),0)</f>
        <v>0</v>
      </c>
      <c r="GR260" s="429">
        <v>1</v>
      </c>
      <c r="GS260" s="429">
        <v>2</v>
      </c>
      <c r="GT260" s="432">
        <f>Monitoring!C260</f>
        <v>0</v>
      </c>
      <c r="GU260" s="432">
        <f>Reference!$C260</f>
        <v>0</v>
      </c>
      <c r="GV260" s="429">
        <f>Reference!$D260</f>
        <v>0</v>
      </c>
      <c r="GW260" s="440">
        <f t="shared" si="62"/>
        <v>0</v>
      </c>
      <c r="GX260" s="440">
        <f t="shared" si="62"/>
        <v>0</v>
      </c>
      <c r="GY260" s="440">
        <f t="shared" si="62"/>
        <v>0</v>
      </c>
      <c r="GZ260" s="440">
        <f t="shared" si="62"/>
        <v>0</v>
      </c>
      <c r="HA260" s="440"/>
      <c r="HB260" s="440"/>
      <c r="HC260" s="440"/>
      <c r="HD260" s="440"/>
      <c r="HE260" s="429">
        <f t="shared" si="55"/>
        <v>236</v>
      </c>
      <c r="HF260" s="429">
        <f>SUM(GW260*Baseline!$P$24,GX260*Baseline!$P$25,GY260*Baseline!$P$26,GZ260*Baseline!$P$27,HA260*Baseline!$P$28,HB260*Baseline!$P$29,HC260*Baseline!$P$30,HD260*Baseline!$P$31,Baseline!$P$23)</f>
        <v>626.18362874044828</v>
      </c>
      <c r="HG260" s="455" t="e">
        <f t="shared" si="56"/>
        <v>#DIV/0!</v>
      </c>
      <c r="HH260" s="429" t="e">
        <f>IF(HG260&lt;=Baseline!$J$13,1,0)</f>
        <v>#DIV/0!</v>
      </c>
      <c r="HI260" s="429">
        <f t="shared" si="57"/>
        <v>392105.93690255558</v>
      </c>
      <c r="HJ260" s="429">
        <f t="shared" si="52"/>
        <v>48910903.069173105</v>
      </c>
      <c r="HK260" s="429">
        <f t="shared" si="53"/>
        <v>58061606.033611111</v>
      </c>
      <c r="HL260" s="429" t="str">
        <f>IF(HM260=Reference!$I$12,(HF260-GV260),"")</f>
        <v/>
      </c>
      <c r="HM260" s="429" t="str">
        <f>Reference!I260</f>
        <v/>
      </c>
      <c r="HN260" s="429" t="str">
        <f t="shared" si="58"/>
        <v/>
      </c>
    </row>
    <row r="261" spans="189:222" ht="17.25" customHeight="1" x14ac:dyDescent="0.35">
      <c r="GG261" s="432"/>
      <c r="GJ261" s="429" t="str">
        <f>IF(GK261=$GJ$15,$GJ$15,IF(GJ$24=HF$4,SUM(GK$25:GK261),SUM(GL$25:GL261)))</f>
        <v>N</v>
      </c>
      <c r="GK261" s="438" t="str">
        <f>IFERROR('!!'!G261-'!!'!D261,$GJ$15)</f>
        <v>N</v>
      </c>
      <c r="GL261" s="429" t="str">
        <f t="shared" si="54"/>
        <v>N</v>
      </c>
      <c r="GM261" s="438">
        <f>IFERROR(('!!'!$D261)*('!!'!W261/('!!'!$G261)),0)</f>
        <v>0</v>
      </c>
      <c r="GN261" s="438">
        <f>IFERROR(('!!'!$D261)*('!!'!X261/('!!'!$G261)),0)</f>
        <v>0</v>
      </c>
      <c r="GO261" s="438">
        <f>IFERROR(('!!'!$D261)*('!!'!Y261/('!!'!$G261)),0)</f>
        <v>0</v>
      </c>
      <c r="GP261" s="438">
        <f>IFERROR(('!!'!$D261)*('!!'!Z260/('!!'!$G261)),0)</f>
        <v>0</v>
      </c>
      <c r="GQ261" s="438">
        <f>IFERROR(('!!'!$D261)*('!!'!Q261/('!!'!$G261)),0)</f>
        <v>0</v>
      </c>
      <c r="GR261" s="429">
        <v>1</v>
      </c>
      <c r="GS261" s="429">
        <v>2</v>
      </c>
      <c r="GT261" s="432">
        <f>Monitoring!C261</f>
        <v>0</v>
      </c>
      <c r="GU261" s="432">
        <f>Reference!$C261</f>
        <v>0</v>
      </c>
      <c r="GV261" s="429">
        <f>Reference!$D261</f>
        <v>0</v>
      </c>
      <c r="GW261" s="440">
        <f t="shared" si="62"/>
        <v>0</v>
      </c>
      <c r="GX261" s="440">
        <f t="shared" si="62"/>
        <v>0</v>
      </c>
      <c r="GY261" s="440">
        <f t="shared" si="62"/>
        <v>0</v>
      </c>
      <c r="GZ261" s="440">
        <f t="shared" si="62"/>
        <v>0</v>
      </c>
      <c r="HA261" s="440"/>
      <c r="HB261" s="440"/>
      <c r="HC261" s="440"/>
      <c r="HD261" s="440"/>
      <c r="HE261" s="429">
        <f t="shared" si="55"/>
        <v>237</v>
      </c>
      <c r="HF261" s="429">
        <f>SUM(GW261*Baseline!$P$24,GX261*Baseline!$P$25,GY261*Baseline!$P$26,GZ261*Baseline!$P$27,HA261*Baseline!$P$28,HB261*Baseline!$P$29,HC261*Baseline!$P$30,HD261*Baseline!$P$31,Baseline!$P$23)</f>
        <v>626.18362874044828</v>
      </c>
      <c r="HG261" s="455" t="e">
        <f t="shared" si="56"/>
        <v>#DIV/0!</v>
      </c>
      <c r="HH261" s="429" t="e">
        <f>IF(HG261&lt;=Baseline!$J$13,1,0)</f>
        <v>#DIV/0!</v>
      </c>
      <c r="HI261" s="429">
        <f t="shared" si="57"/>
        <v>392105.93690255558</v>
      </c>
      <c r="HJ261" s="429">
        <f t="shared" si="52"/>
        <v>48910903.069173105</v>
      </c>
      <c r="HK261" s="429">
        <f t="shared" si="53"/>
        <v>58061606.033611111</v>
      </c>
      <c r="HL261" s="429" t="str">
        <f>IF(HM261=Reference!$I$12,(HF261-GV261),"")</f>
        <v/>
      </c>
      <c r="HM261" s="429" t="str">
        <f>Reference!I261</f>
        <v/>
      </c>
      <c r="HN261" s="429" t="str">
        <f t="shared" si="58"/>
        <v/>
      </c>
    </row>
    <row r="262" spans="189:222" ht="17.25" customHeight="1" x14ac:dyDescent="0.35">
      <c r="GG262" s="432"/>
      <c r="GJ262" s="429" t="str">
        <f>IF(GK262=$GJ$15,$GJ$15,IF(GJ$24=HF$4,SUM(GK$25:GK262),SUM(GL$25:GL262)))</f>
        <v>N</v>
      </c>
      <c r="GK262" s="438" t="str">
        <f>IFERROR('!!'!G262-'!!'!D262,$GJ$15)</f>
        <v>N</v>
      </c>
      <c r="GL262" s="429" t="str">
        <f t="shared" si="54"/>
        <v>N</v>
      </c>
      <c r="GM262" s="438">
        <f>IFERROR(('!!'!$D262)*('!!'!W262/('!!'!$G262)),0)</f>
        <v>0</v>
      </c>
      <c r="GN262" s="438">
        <f>IFERROR(('!!'!$D262)*('!!'!X262/('!!'!$G262)),0)</f>
        <v>0</v>
      </c>
      <c r="GO262" s="438">
        <f>IFERROR(('!!'!$D262)*('!!'!Y262/('!!'!$G262)),0)</f>
        <v>0</v>
      </c>
      <c r="GP262" s="438">
        <f>IFERROR(('!!'!$D262)*('!!'!Z261/('!!'!$G262)),0)</f>
        <v>0</v>
      </c>
      <c r="GQ262" s="438">
        <f>IFERROR(('!!'!$D262)*('!!'!Q262/('!!'!$G262)),0)</f>
        <v>0</v>
      </c>
      <c r="GR262" s="429">
        <v>1</v>
      </c>
      <c r="GS262" s="429">
        <v>2</v>
      </c>
      <c r="GT262" s="432">
        <f>Monitoring!C262</f>
        <v>0</v>
      </c>
      <c r="GU262" s="432">
        <f>Reference!$C262</f>
        <v>0</v>
      </c>
      <c r="GV262" s="429">
        <f>Reference!$D262</f>
        <v>0</v>
      </c>
      <c r="GW262" s="440">
        <f t="shared" si="62"/>
        <v>0</v>
      </c>
      <c r="GX262" s="440">
        <f t="shared" si="62"/>
        <v>0</v>
      </c>
      <c r="GY262" s="440">
        <f t="shared" si="62"/>
        <v>0</v>
      </c>
      <c r="GZ262" s="440">
        <f t="shared" si="62"/>
        <v>0</v>
      </c>
      <c r="HA262" s="440"/>
      <c r="HB262" s="440"/>
      <c r="HC262" s="440"/>
      <c r="HD262" s="440"/>
      <c r="HE262" s="429">
        <f t="shared" si="55"/>
        <v>238</v>
      </c>
      <c r="HF262" s="429">
        <f>SUM(GW262*Baseline!$P$24,GX262*Baseline!$P$25,GY262*Baseline!$P$26,GZ262*Baseline!$P$27,HA262*Baseline!$P$28,HB262*Baseline!$P$29,HC262*Baseline!$P$30,HD262*Baseline!$P$31,Baseline!$P$23)</f>
        <v>626.18362874044828</v>
      </c>
      <c r="HG262" s="455" t="e">
        <f t="shared" si="56"/>
        <v>#DIV/0!</v>
      </c>
      <c r="HH262" s="429" t="e">
        <f>IF(HG262&lt;=Baseline!$J$13,1,0)</f>
        <v>#DIV/0!</v>
      </c>
      <c r="HI262" s="429">
        <f t="shared" si="57"/>
        <v>392105.93690255558</v>
      </c>
      <c r="HJ262" s="429">
        <f t="shared" si="52"/>
        <v>48910903.069173105</v>
      </c>
      <c r="HK262" s="429">
        <f t="shared" si="53"/>
        <v>58061606.033611111</v>
      </c>
      <c r="HL262" s="429" t="str">
        <f>IF(HM262=Reference!$I$12,(HF262-GV262),"")</f>
        <v/>
      </c>
      <c r="HM262" s="429" t="str">
        <f>Reference!I262</f>
        <v/>
      </c>
      <c r="HN262" s="429" t="str">
        <f t="shared" si="58"/>
        <v/>
      </c>
    </row>
    <row r="263" spans="189:222" ht="17.25" customHeight="1" x14ac:dyDescent="0.35">
      <c r="GG263" s="432"/>
      <c r="GJ263" s="429" t="str">
        <f>IF(GK263=$GJ$15,$GJ$15,IF(GJ$24=HF$4,SUM(GK$25:GK263),SUM(GL$25:GL263)))</f>
        <v>N</v>
      </c>
      <c r="GK263" s="438" t="str">
        <f>IFERROR('!!'!G263-'!!'!D263,$GJ$15)</f>
        <v>N</v>
      </c>
      <c r="GL263" s="429" t="str">
        <f t="shared" si="54"/>
        <v>N</v>
      </c>
      <c r="GM263" s="438">
        <f>IFERROR(('!!'!$D263)*('!!'!W263/('!!'!$G263)),0)</f>
        <v>0</v>
      </c>
      <c r="GN263" s="438">
        <f>IFERROR(('!!'!$D263)*('!!'!X263/('!!'!$G263)),0)</f>
        <v>0</v>
      </c>
      <c r="GO263" s="438">
        <f>IFERROR(('!!'!$D263)*('!!'!Y263/('!!'!$G263)),0)</f>
        <v>0</v>
      </c>
      <c r="GP263" s="438">
        <f>IFERROR(('!!'!$D263)*('!!'!Z262/('!!'!$G263)),0)</f>
        <v>0</v>
      </c>
      <c r="GQ263" s="438">
        <f>IFERROR(('!!'!$D263)*('!!'!Q263/('!!'!$G263)),0)</f>
        <v>0</v>
      </c>
      <c r="GR263" s="429">
        <v>1</v>
      </c>
      <c r="GS263" s="429">
        <v>2</v>
      </c>
      <c r="GT263" s="432">
        <f>Monitoring!C263</f>
        <v>0</v>
      </c>
      <c r="GU263" s="432">
        <f>Reference!$C263</f>
        <v>0</v>
      </c>
      <c r="GV263" s="429">
        <f>Reference!$D263</f>
        <v>0</v>
      </c>
      <c r="GW263" s="440">
        <f t="shared" si="62"/>
        <v>0</v>
      </c>
      <c r="GX263" s="440">
        <f t="shared" si="62"/>
        <v>0</v>
      </c>
      <c r="GY263" s="440">
        <f t="shared" si="62"/>
        <v>0</v>
      </c>
      <c r="GZ263" s="440">
        <f t="shared" si="62"/>
        <v>0</v>
      </c>
      <c r="HA263" s="440"/>
      <c r="HB263" s="440"/>
      <c r="HC263" s="440"/>
      <c r="HD263" s="440"/>
      <c r="HE263" s="429">
        <f t="shared" si="55"/>
        <v>239</v>
      </c>
      <c r="HF263" s="429">
        <f>SUM(GW263*Baseline!$P$24,GX263*Baseline!$P$25,GY263*Baseline!$P$26,GZ263*Baseline!$P$27,HA263*Baseline!$P$28,HB263*Baseline!$P$29,HC263*Baseline!$P$30,HD263*Baseline!$P$31,Baseline!$P$23)</f>
        <v>626.18362874044828</v>
      </c>
      <c r="HG263" s="455" t="e">
        <f t="shared" si="56"/>
        <v>#DIV/0!</v>
      </c>
      <c r="HH263" s="429" t="e">
        <f>IF(HG263&lt;=Baseline!$J$13,1,0)</f>
        <v>#DIV/0!</v>
      </c>
      <c r="HI263" s="429">
        <f t="shared" si="57"/>
        <v>392105.93690255558</v>
      </c>
      <c r="HJ263" s="429">
        <f t="shared" si="52"/>
        <v>48910903.069173105</v>
      </c>
      <c r="HK263" s="429">
        <f t="shared" si="53"/>
        <v>58061606.033611111</v>
      </c>
      <c r="HL263" s="429" t="str">
        <f>IF(HM263=Reference!$I$12,(HF263-GV263),"")</f>
        <v/>
      </c>
      <c r="HM263" s="429" t="str">
        <f>Reference!I263</f>
        <v/>
      </c>
      <c r="HN263" s="429" t="str">
        <f t="shared" si="58"/>
        <v/>
      </c>
    </row>
    <row r="264" spans="189:222" ht="17.25" customHeight="1" x14ac:dyDescent="0.35">
      <c r="GG264" s="432"/>
      <c r="GJ264" s="429" t="str">
        <f>IF(GK264=$GJ$15,$GJ$15,IF(GJ$24=HF$4,SUM(GK$25:GK264),SUM(GL$25:GL264)))</f>
        <v>N</v>
      </c>
      <c r="GK264" s="438" t="str">
        <f>IFERROR('!!'!G264-'!!'!D264,$GJ$15)</f>
        <v>N</v>
      </c>
      <c r="GL264" s="429" t="str">
        <f t="shared" si="54"/>
        <v>N</v>
      </c>
      <c r="GM264" s="438">
        <f>IFERROR(('!!'!$D264)*('!!'!W264/('!!'!$G264)),0)</f>
        <v>0</v>
      </c>
      <c r="GN264" s="438">
        <f>IFERROR(('!!'!$D264)*('!!'!X264/('!!'!$G264)),0)</f>
        <v>0</v>
      </c>
      <c r="GO264" s="438">
        <f>IFERROR(('!!'!$D264)*('!!'!Y264/('!!'!$G264)),0)</f>
        <v>0</v>
      </c>
      <c r="GP264" s="438">
        <f>IFERROR(('!!'!$D264)*('!!'!Z263/('!!'!$G264)),0)</f>
        <v>0</v>
      </c>
      <c r="GQ264" s="438">
        <f>IFERROR(('!!'!$D264)*('!!'!Q264/('!!'!$G264)),0)</f>
        <v>0</v>
      </c>
      <c r="GR264" s="429">
        <v>1</v>
      </c>
      <c r="GS264" s="429">
        <v>2</v>
      </c>
      <c r="GT264" s="432">
        <f>Monitoring!C264</f>
        <v>0</v>
      </c>
      <c r="GU264" s="432">
        <f>Reference!$C264</f>
        <v>0</v>
      </c>
      <c r="GV264" s="429">
        <f>Reference!$D264</f>
        <v>0</v>
      </c>
      <c r="GW264" s="440">
        <f t="shared" si="62"/>
        <v>0</v>
      </c>
      <c r="GX264" s="440">
        <f t="shared" si="62"/>
        <v>0</v>
      </c>
      <c r="GY264" s="440">
        <f t="shared" si="62"/>
        <v>0</v>
      </c>
      <c r="GZ264" s="440">
        <f t="shared" si="62"/>
        <v>0</v>
      </c>
      <c r="HA264" s="440"/>
      <c r="HB264" s="440"/>
      <c r="HC264" s="440"/>
      <c r="HD264" s="440"/>
      <c r="HE264" s="429">
        <f t="shared" si="55"/>
        <v>240</v>
      </c>
      <c r="HF264" s="429">
        <f>SUM(GW264*Baseline!$P$24,GX264*Baseline!$P$25,GY264*Baseline!$P$26,GZ264*Baseline!$P$27,HA264*Baseline!$P$28,HB264*Baseline!$P$29,HC264*Baseline!$P$30,HD264*Baseline!$P$31,Baseline!$P$23)</f>
        <v>626.18362874044828</v>
      </c>
      <c r="HG264" s="455" t="e">
        <f t="shared" si="56"/>
        <v>#DIV/0!</v>
      </c>
      <c r="HH264" s="429" t="e">
        <f>IF(HG264&lt;=Baseline!$J$13,1,0)</f>
        <v>#DIV/0!</v>
      </c>
      <c r="HI264" s="429">
        <f t="shared" si="57"/>
        <v>392105.93690255558</v>
      </c>
      <c r="HJ264" s="429">
        <f t="shared" si="52"/>
        <v>48910903.069173105</v>
      </c>
      <c r="HK264" s="429">
        <f t="shared" si="53"/>
        <v>58061606.033611111</v>
      </c>
      <c r="HL264" s="429" t="str">
        <f>IF(HM264=Reference!$I$12,(HF264-GV264),"")</f>
        <v/>
      </c>
      <c r="HM264" s="429" t="str">
        <f>Reference!I264</f>
        <v/>
      </c>
      <c r="HN264" s="429" t="str">
        <f t="shared" si="58"/>
        <v/>
      </c>
    </row>
    <row r="265" spans="189:222" ht="17.25" customHeight="1" x14ac:dyDescent="0.35">
      <c r="GG265" s="432"/>
      <c r="GJ265" s="429" t="str">
        <f>IF(GK265=$GJ$15,$GJ$15,IF(GJ$24=HF$4,SUM(GK$25:GK265),SUM(GL$25:GL265)))</f>
        <v>N</v>
      </c>
      <c r="GK265" s="438" t="str">
        <f>IFERROR('!!'!G265-'!!'!D265,$GJ$15)</f>
        <v>N</v>
      </c>
      <c r="GL265" s="429" t="str">
        <f t="shared" si="54"/>
        <v>N</v>
      </c>
      <c r="GM265" s="438">
        <f>IFERROR(('!!'!$D265)*('!!'!W265/('!!'!$G265)),0)</f>
        <v>0</v>
      </c>
      <c r="GN265" s="438">
        <f>IFERROR(('!!'!$D265)*('!!'!X265/('!!'!$G265)),0)</f>
        <v>0</v>
      </c>
      <c r="GO265" s="438">
        <f>IFERROR(('!!'!$D265)*('!!'!Y265/('!!'!$G265)),0)</f>
        <v>0</v>
      </c>
      <c r="GP265" s="438">
        <f>IFERROR(('!!'!$D265)*('!!'!Z264/('!!'!$G265)),0)</f>
        <v>0</v>
      </c>
      <c r="GQ265" s="438">
        <f>IFERROR(('!!'!$D265)*('!!'!Q265/('!!'!$G265)),0)</f>
        <v>0</v>
      </c>
      <c r="GR265" s="429">
        <v>1</v>
      </c>
      <c r="GS265" s="429">
        <v>2</v>
      </c>
      <c r="GT265" s="432">
        <f>Monitoring!C265</f>
        <v>0</v>
      </c>
      <c r="GU265" s="432">
        <f>Reference!$C265</f>
        <v>0</v>
      </c>
      <c r="GV265" s="429">
        <f>Reference!$D265</f>
        <v>0</v>
      </c>
      <c r="GW265" s="440">
        <f t="shared" ref="GW265:GZ274" si="63">IFERROR(VLOOKUP($GU265,Daten.B,GW$22,FALSE)^GW$23,0)</f>
        <v>0</v>
      </c>
      <c r="GX265" s="440">
        <f t="shared" si="63"/>
        <v>0</v>
      </c>
      <c r="GY265" s="440">
        <f t="shared" si="63"/>
        <v>0</v>
      </c>
      <c r="GZ265" s="440">
        <f t="shared" si="63"/>
        <v>0</v>
      </c>
      <c r="HA265" s="440"/>
      <c r="HB265" s="440"/>
      <c r="HC265" s="440"/>
      <c r="HD265" s="440"/>
      <c r="HE265" s="429">
        <f t="shared" si="55"/>
        <v>241</v>
      </c>
      <c r="HF265" s="429">
        <f>SUM(GW265*Baseline!$P$24,GX265*Baseline!$P$25,GY265*Baseline!$P$26,GZ265*Baseline!$P$27,HA265*Baseline!$P$28,HB265*Baseline!$P$29,HC265*Baseline!$P$30,HD265*Baseline!$P$31,Baseline!$P$23)</f>
        <v>626.18362874044828</v>
      </c>
      <c r="HG265" s="455" t="e">
        <f t="shared" si="56"/>
        <v>#DIV/0!</v>
      </c>
      <c r="HH265" s="429" t="e">
        <f>IF(HG265&lt;=Baseline!$J$13,1,0)</f>
        <v>#DIV/0!</v>
      </c>
      <c r="HI265" s="429">
        <f t="shared" si="57"/>
        <v>392105.93690255558</v>
      </c>
      <c r="HJ265" s="429">
        <f t="shared" si="52"/>
        <v>48910903.069173105</v>
      </c>
      <c r="HK265" s="429">
        <f t="shared" si="53"/>
        <v>58061606.033611111</v>
      </c>
      <c r="HL265" s="429" t="str">
        <f>IF(HM265=Reference!$I$12,(HF265-GV265),"")</f>
        <v/>
      </c>
      <c r="HM265" s="429" t="str">
        <f>Reference!I265</f>
        <v/>
      </c>
      <c r="HN265" s="429" t="str">
        <f t="shared" si="58"/>
        <v/>
      </c>
    </row>
    <row r="266" spans="189:222" ht="17.25" customHeight="1" x14ac:dyDescent="0.35">
      <c r="GG266" s="432"/>
      <c r="GJ266" s="429" t="str">
        <f>IF(GK266=$GJ$15,$GJ$15,IF(GJ$24=HF$4,SUM(GK$25:GK266),SUM(GL$25:GL266)))</f>
        <v>N</v>
      </c>
      <c r="GK266" s="438" t="str">
        <f>IFERROR('!!'!G266-'!!'!D266,$GJ$15)</f>
        <v>N</v>
      </c>
      <c r="GL266" s="429" t="str">
        <f t="shared" si="54"/>
        <v>N</v>
      </c>
      <c r="GM266" s="438">
        <f>IFERROR(('!!'!$D266)*('!!'!W266/('!!'!$G266)),0)</f>
        <v>0</v>
      </c>
      <c r="GN266" s="438">
        <f>IFERROR(('!!'!$D266)*('!!'!X266/('!!'!$G266)),0)</f>
        <v>0</v>
      </c>
      <c r="GO266" s="438">
        <f>IFERROR(('!!'!$D266)*('!!'!Y266/('!!'!$G266)),0)</f>
        <v>0</v>
      </c>
      <c r="GP266" s="438">
        <f>IFERROR(('!!'!$D266)*('!!'!Z265/('!!'!$G266)),0)</f>
        <v>0</v>
      </c>
      <c r="GQ266" s="438">
        <f>IFERROR(('!!'!$D266)*('!!'!Q266/('!!'!$G266)),0)</f>
        <v>0</v>
      </c>
      <c r="GR266" s="429">
        <v>1</v>
      </c>
      <c r="GS266" s="429">
        <v>2</v>
      </c>
      <c r="GT266" s="432">
        <f>Monitoring!C266</f>
        <v>0</v>
      </c>
      <c r="GU266" s="432">
        <f>Reference!$C266</f>
        <v>0</v>
      </c>
      <c r="GV266" s="429">
        <f>Reference!$D266</f>
        <v>0</v>
      </c>
      <c r="GW266" s="440">
        <f t="shared" si="63"/>
        <v>0</v>
      </c>
      <c r="GX266" s="440">
        <f t="shared" si="63"/>
        <v>0</v>
      </c>
      <c r="GY266" s="440">
        <f t="shared" si="63"/>
        <v>0</v>
      </c>
      <c r="GZ266" s="440">
        <f t="shared" si="63"/>
        <v>0</v>
      </c>
      <c r="HA266" s="440"/>
      <c r="HB266" s="440"/>
      <c r="HC266" s="440"/>
      <c r="HD266" s="440"/>
      <c r="HE266" s="429">
        <f t="shared" si="55"/>
        <v>242</v>
      </c>
      <c r="HF266" s="429">
        <f>SUM(GW266*Baseline!$P$24,GX266*Baseline!$P$25,GY266*Baseline!$P$26,GZ266*Baseline!$P$27,HA266*Baseline!$P$28,HB266*Baseline!$P$29,HC266*Baseline!$P$30,HD266*Baseline!$P$31,Baseline!$P$23)</f>
        <v>626.18362874044828</v>
      </c>
      <c r="HG266" s="455" t="e">
        <f t="shared" si="56"/>
        <v>#DIV/0!</v>
      </c>
      <c r="HH266" s="429" t="e">
        <f>IF(HG266&lt;=Baseline!$J$13,1,0)</f>
        <v>#DIV/0!</v>
      </c>
      <c r="HI266" s="429">
        <f t="shared" si="57"/>
        <v>392105.93690255558</v>
      </c>
      <c r="HJ266" s="429">
        <f t="shared" si="52"/>
        <v>48910903.069173105</v>
      </c>
      <c r="HK266" s="429">
        <f t="shared" si="53"/>
        <v>58061606.033611111</v>
      </c>
      <c r="HL266" s="429" t="str">
        <f>IF(HM266=Reference!$I$12,(HF266-GV266),"")</f>
        <v/>
      </c>
      <c r="HM266" s="429" t="str">
        <f>Reference!I266</f>
        <v/>
      </c>
      <c r="HN266" s="429" t="str">
        <f t="shared" si="58"/>
        <v/>
      </c>
    </row>
    <row r="267" spans="189:222" ht="17.25" customHeight="1" x14ac:dyDescent="0.35">
      <c r="GG267" s="432"/>
      <c r="GJ267" s="429" t="str">
        <f>IF(GK267=$GJ$15,$GJ$15,IF(GJ$24=HF$4,SUM(GK$25:GK267),SUM(GL$25:GL267)))</f>
        <v>N</v>
      </c>
      <c r="GK267" s="438" t="str">
        <f>IFERROR('!!'!G267-'!!'!D267,$GJ$15)</f>
        <v>N</v>
      </c>
      <c r="GL267" s="429" t="str">
        <f t="shared" si="54"/>
        <v>N</v>
      </c>
      <c r="GM267" s="438">
        <f>IFERROR(('!!'!$D267)*('!!'!W267/('!!'!$G267)),0)</f>
        <v>0</v>
      </c>
      <c r="GN267" s="438">
        <f>IFERROR(('!!'!$D267)*('!!'!X267/('!!'!$G267)),0)</f>
        <v>0</v>
      </c>
      <c r="GO267" s="438">
        <f>IFERROR(('!!'!$D267)*('!!'!Y267/('!!'!$G267)),0)</f>
        <v>0</v>
      </c>
      <c r="GP267" s="438">
        <f>IFERROR(('!!'!$D267)*('!!'!Z266/('!!'!$G267)),0)</f>
        <v>0</v>
      </c>
      <c r="GQ267" s="438">
        <f>IFERROR(('!!'!$D267)*('!!'!Q267/('!!'!$G267)),0)</f>
        <v>0</v>
      </c>
      <c r="GR267" s="429">
        <v>1</v>
      </c>
      <c r="GS267" s="429">
        <v>2</v>
      </c>
      <c r="GT267" s="432">
        <f>Monitoring!C267</f>
        <v>0</v>
      </c>
      <c r="GU267" s="432">
        <f>Reference!$C267</f>
        <v>0</v>
      </c>
      <c r="GV267" s="429">
        <f>Reference!$D267</f>
        <v>0</v>
      </c>
      <c r="GW267" s="440">
        <f t="shared" si="63"/>
        <v>0</v>
      </c>
      <c r="GX267" s="440">
        <f t="shared" si="63"/>
        <v>0</v>
      </c>
      <c r="GY267" s="440">
        <f t="shared" si="63"/>
        <v>0</v>
      </c>
      <c r="GZ267" s="440">
        <f t="shared" si="63"/>
        <v>0</v>
      </c>
      <c r="HA267" s="440"/>
      <c r="HB267" s="440"/>
      <c r="HC267" s="440"/>
      <c r="HD267" s="440"/>
      <c r="HE267" s="429">
        <f t="shared" si="55"/>
        <v>243</v>
      </c>
      <c r="HF267" s="429">
        <f>SUM(GW267*Baseline!$P$24,GX267*Baseline!$P$25,GY267*Baseline!$P$26,GZ267*Baseline!$P$27,HA267*Baseline!$P$28,HB267*Baseline!$P$29,HC267*Baseline!$P$30,HD267*Baseline!$P$31,Baseline!$P$23)</f>
        <v>626.18362874044828</v>
      </c>
      <c r="HG267" s="455" t="e">
        <f t="shared" si="56"/>
        <v>#DIV/0!</v>
      </c>
      <c r="HH267" s="429" t="e">
        <f>IF(HG267&lt;=Baseline!$J$13,1,0)</f>
        <v>#DIV/0!</v>
      </c>
      <c r="HI267" s="429">
        <f t="shared" si="57"/>
        <v>392105.93690255558</v>
      </c>
      <c r="HJ267" s="429">
        <f t="shared" si="52"/>
        <v>48910903.069173105</v>
      </c>
      <c r="HK267" s="429">
        <f t="shared" si="53"/>
        <v>58061606.033611111</v>
      </c>
      <c r="HL267" s="429" t="str">
        <f>IF(HM267=Reference!$I$12,(HF267-GV267),"")</f>
        <v/>
      </c>
      <c r="HM267" s="429" t="str">
        <f>Reference!I267</f>
        <v/>
      </c>
      <c r="HN267" s="429" t="str">
        <f t="shared" si="58"/>
        <v/>
      </c>
    </row>
    <row r="268" spans="189:222" ht="17.25" customHeight="1" x14ac:dyDescent="0.35">
      <c r="GG268" s="432"/>
      <c r="GJ268" s="429" t="str">
        <f>IF(GK268=$GJ$15,$GJ$15,IF(GJ$24=HF$4,SUM(GK$25:GK268),SUM(GL$25:GL268)))</f>
        <v>N</v>
      </c>
      <c r="GK268" s="438" t="str">
        <f>IFERROR('!!'!G268-'!!'!D268,$GJ$15)</f>
        <v>N</v>
      </c>
      <c r="GL268" s="429" t="str">
        <f t="shared" si="54"/>
        <v>N</v>
      </c>
      <c r="GM268" s="438">
        <f>IFERROR(('!!'!$D268)*('!!'!W268/('!!'!$G268)),0)</f>
        <v>0</v>
      </c>
      <c r="GN268" s="438">
        <f>IFERROR(('!!'!$D268)*('!!'!X268/('!!'!$G268)),0)</f>
        <v>0</v>
      </c>
      <c r="GO268" s="438">
        <f>IFERROR(('!!'!$D268)*('!!'!Y268/('!!'!$G268)),0)</f>
        <v>0</v>
      </c>
      <c r="GP268" s="438">
        <f>IFERROR(('!!'!$D268)*('!!'!Z267/('!!'!$G268)),0)</f>
        <v>0</v>
      </c>
      <c r="GQ268" s="438">
        <f>IFERROR(('!!'!$D268)*('!!'!Q268/('!!'!$G268)),0)</f>
        <v>0</v>
      </c>
      <c r="GR268" s="429">
        <v>1</v>
      </c>
      <c r="GS268" s="429">
        <v>2</v>
      </c>
      <c r="GT268" s="432">
        <f>Monitoring!C268</f>
        <v>0</v>
      </c>
      <c r="GU268" s="432">
        <f>Reference!$C268</f>
        <v>0</v>
      </c>
      <c r="GV268" s="429">
        <f>Reference!$D268</f>
        <v>0</v>
      </c>
      <c r="GW268" s="440">
        <f t="shared" si="63"/>
        <v>0</v>
      </c>
      <c r="GX268" s="440">
        <f t="shared" si="63"/>
        <v>0</v>
      </c>
      <c r="GY268" s="440">
        <f t="shared" si="63"/>
        <v>0</v>
      </c>
      <c r="GZ268" s="440">
        <f t="shared" si="63"/>
        <v>0</v>
      </c>
      <c r="HA268" s="440"/>
      <c r="HB268" s="440"/>
      <c r="HC268" s="440"/>
      <c r="HD268" s="440"/>
      <c r="HE268" s="429">
        <f t="shared" si="55"/>
        <v>244</v>
      </c>
      <c r="HF268" s="429">
        <f>SUM(GW268*Baseline!$P$24,GX268*Baseline!$P$25,GY268*Baseline!$P$26,GZ268*Baseline!$P$27,HA268*Baseline!$P$28,HB268*Baseline!$P$29,HC268*Baseline!$P$30,HD268*Baseline!$P$31,Baseline!$P$23)</f>
        <v>626.18362874044828</v>
      </c>
      <c r="HG268" s="455" t="e">
        <f t="shared" si="56"/>
        <v>#DIV/0!</v>
      </c>
      <c r="HH268" s="429" t="e">
        <f>IF(HG268&lt;=Baseline!$J$13,1,0)</f>
        <v>#DIV/0!</v>
      </c>
      <c r="HI268" s="429">
        <f t="shared" si="57"/>
        <v>392105.93690255558</v>
      </c>
      <c r="HJ268" s="429">
        <f t="shared" si="52"/>
        <v>48910903.069173105</v>
      </c>
      <c r="HK268" s="429">
        <f t="shared" si="53"/>
        <v>58061606.033611111</v>
      </c>
      <c r="HL268" s="429" t="str">
        <f>IF(HM268=Reference!$I$12,(HF268-GV268),"")</f>
        <v/>
      </c>
      <c r="HM268" s="429" t="str">
        <f>Reference!I268</f>
        <v/>
      </c>
      <c r="HN268" s="429" t="str">
        <f t="shared" si="58"/>
        <v/>
      </c>
    </row>
    <row r="269" spans="189:222" ht="17.25" customHeight="1" x14ac:dyDescent="0.35">
      <c r="GG269" s="432"/>
      <c r="GJ269" s="429" t="str">
        <f>IF(GK269=$GJ$15,$GJ$15,IF(GJ$24=HF$4,SUM(GK$25:GK269),SUM(GL$25:GL269)))</f>
        <v>N</v>
      </c>
      <c r="GK269" s="438" t="str">
        <f>IFERROR('!!'!G269-'!!'!D269,$GJ$15)</f>
        <v>N</v>
      </c>
      <c r="GL269" s="429" t="str">
        <f t="shared" si="54"/>
        <v>N</v>
      </c>
      <c r="GM269" s="438">
        <f>IFERROR(('!!'!$D269)*('!!'!W269/('!!'!$G269)),0)</f>
        <v>0</v>
      </c>
      <c r="GN269" s="438">
        <f>IFERROR(('!!'!$D269)*('!!'!X269/('!!'!$G269)),0)</f>
        <v>0</v>
      </c>
      <c r="GO269" s="438">
        <f>IFERROR(('!!'!$D269)*('!!'!Y269/('!!'!$G269)),0)</f>
        <v>0</v>
      </c>
      <c r="GP269" s="438">
        <f>IFERROR(('!!'!$D269)*('!!'!Z268/('!!'!$G269)),0)</f>
        <v>0</v>
      </c>
      <c r="GQ269" s="438">
        <f>IFERROR(('!!'!$D269)*('!!'!Q269/('!!'!$G269)),0)</f>
        <v>0</v>
      </c>
      <c r="GR269" s="429">
        <v>1</v>
      </c>
      <c r="GS269" s="429">
        <v>2</v>
      </c>
      <c r="GT269" s="432">
        <f>Monitoring!C269</f>
        <v>0</v>
      </c>
      <c r="GU269" s="432">
        <f>Reference!$C269</f>
        <v>0</v>
      </c>
      <c r="GV269" s="429">
        <f>Reference!$D269</f>
        <v>0</v>
      </c>
      <c r="GW269" s="440">
        <f t="shared" si="63"/>
        <v>0</v>
      </c>
      <c r="GX269" s="440">
        <f t="shared" si="63"/>
        <v>0</v>
      </c>
      <c r="GY269" s="440">
        <f t="shared" si="63"/>
        <v>0</v>
      </c>
      <c r="GZ269" s="440">
        <f t="shared" si="63"/>
        <v>0</v>
      </c>
      <c r="HA269" s="440"/>
      <c r="HB269" s="440"/>
      <c r="HC269" s="440"/>
      <c r="HD269" s="440"/>
      <c r="HE269" s="429">
        <f t="shared" si="55"/>
        <v>245</v>
      </c>
      <c r="HF269" s="429">
        <f>SUM(GW269*Baseline!$P$24,GX269*Baseline!$P$25,GY269*Baseline!$P$26,GZ269*Baseline!$P$27,HA269*Baseline!$P$28,HB269*Baseline!$P$29,HC269*Baseline!$P$30,HD269*Baseline!$P$31,Baseline!$P$23)</f>
        <v>626.18362874044828</v>
      </c>
      <c r="HG269" s="455" t="e">
        <f t="shared" si="56"/>
        <v>#DIV/0!</v>
      </c>
      <c r="HH269" s="429" t="e">
        <f>IF(HG269&lt;=Baseline!$J$13,1,0)</f>
        <v>#DIV/0!</v>
      </c>
      <c r="HI269" s="429">
        <f t="shared" si="57"/>
        <v>392105.93690255558</v>
      </c>
      <c r="HJ269" s="429">
        <f t="shared" si="52"/>
        <v>48910903.069173105</v>
      </c>
      <c r="HK269" s="429">
        <f t="shared" si="53"/>
        <v>58061606.033611111</v>
      </c>
      <c r="HL269" s="429" t="str">
        <f>IF(HM269=Reference!$I$12,(HF269-GV269),"")</f>
        <v/>
      </c>
      <c r="HM269" s="429" t="str">
        <f>Reference!I269</f>
        <v/>
      </c>
      <c r="HN269" s="429" t="str">
        <f t="shared" si="58"/>
        <v/>
      </c>
    </row>
    <row r="270" spans="189:222" ht="17.25" customHeight="1" x14ac:dyDescent="0.35">
      <c r="GG270" s="432"/>
      <c r="GJ270" s="429" t="str">
        <f>IF(GK270=$GJ$15,$GJ$15,IF(GJ$24=HF$4,SUM(GK$25:GK270),SUM(GL$25:GL270)))</f>
        <v>N</v>
      </c>
      <c r="GK270" s="438" t="str">
        <f>IFERROR('!!'!G270-'!!'!D270,$GJ$15)</f>
        <v>N</v>
      </c>
      <c r="GL270" s="429" t="str">
        <f t="shared" si="54"/>
        <v>N</v>
      </c>
      <c r="GM270" s="438">
        <f>IFERROR(('!!'!$D270)*('!!'!W270/('!!'!$G270)),0)</f>
        <v>0</v>
      </c>
      <c r="GN270" s="438">
        <f>IFERROR(('!!'!$D270)*('!!'!X270/('!!'!$G270)),0)</f>
        <v>0</v>
      </c>
      <c r="GO270" s="438">
        <f>IFERROR(('!!'!$D270)*('!!'!Y270/('!!'!$G270)),0)</f>
        <v>0</v>
      </c>
      <c r="GP270" s="438">
        <f>IFERROR(('!!'!$D270)*('!!'!Z269/('!!'!$G270)),0)</f>
        <v>0</v>
      </c>
      <c r="GQ270" s="438">
        <f>IFERROR(('!!'!$D270)*('!!'!Q270/('!!'!$G270)),0)</f>
        <v>0</v>
      </c>
      <c r="GR270" s="429">
        <v>1</v>
      </c>
      <c r="GS270" s="429">
        <v>2</v>
      </c>
      <c r="GT270" s="432">
        <f>Monitoring!C270</f>
        <v>0</v>
      </c>
      <c r="GU270" s="432">
        <f>Reference!$C270</f>
        <v>0</v>
      </c>
      <c r="GV270" s="429">
        <f>Reference!$D270</f>
        <v>0</v>
      </c>
      <c r="GW270" s="440">
        <f t="shared" si="63"/>
        <v>0</v>
      </c>
      <c r="GX270" s="440">
        <f t="shared" si="63"/>
        <v>0</v>
      </c>
      <c r="GY270" s="440">
        <f t="shared" si="63"/>
        <v>0</v>
      </c>
      <c r="GZ270" s="440">
        <f t="shared" si="63"/>
        <v>0</v>
      </c>
      <c r="HA270" s="440"/>
      <c r="HB270" s="440"/>
      <c r="HC270" s="440"/>
      <c r="HD270" s="440"/>
      <c r="HE270" s="429">
        <f t="shared" si="55"/>
        <v>246</v>
      </c>
      <c r="HF270" s="429">
        <f>SUM(GW270*Baseline!$P$24,GX270*Baseline!$P$25,GY270*Baseline!$P$26,GZ270*Baseline!$P$27,HA270*Baseline!$P$28,HB270*Baseline!$P$29,HC270*Baseline!$P$30,HD270*Baseline!$P$31,Baseline!$P$23)</f>
        <v>626.18362874044828</v>
      </c>
      <c r="HG270" s="455" t="e">
        <f t="shared" si="56"/>
        <v>#DIV/0!</v>
      </c>
      <c r="HH270" s="429" t="e">
        <f>IF(HG270&lt;=Baseline!$J$13,1,0)</f>
        <v>#DIV/0!</v>
      </c>
      <c r="HI270" s="429">
        <f t="shared" si="57"/>
        <v>392105.93690255558</v>
      </c>
      <c r="HJ270" s="429">
        <f t="shared" si="52"/>
        <v>48910903.069173105</v>
      </c>
      <c r="HK270" s="429">
        <f t="shared" si="53"/>
        <v>58061606.033611111</v>
      </c>
      <c r="HL270" s="429" t="str">
        <f>IF(HM270=Reference!$I$12,(HF270-GV270),"")</f>
        <v/>
      </c>
      <c r="HM270" s="429" t="str">
        <f>Reference!I270</f>
        <v/>
      </c>
      <c r="HN270" s="429" t="str">
        <f t="shared" si="58"/>
        <v/>
      </c>
    </row>
    <row r="271" spans="189:222" ht="17.25" customHeight="1" x14ac:dyDescent="0.35">
      <c r="GG271" s="432"/>
      <c r="GJ271" s="429" t="str">
        <f>IF(GK271=$GJ$15,$GJ$15,IF(GJ$24=HF$4,SUM(GK$25:GK271),SUM(GL$25:GL271)))</f>
        <v>N</v>
      </c>
      <c r="GK271" s="438" t="str">
        <f>IFERROR('!!'!G271-'!!'!D271,$GJ$15)</f>
        <v>N</v>
      </c>
      <c r="GL271" s="429" t="str">
        <f t="shared" si="54"/>
        <v>N</v>
      </c>
      <c r="GM271" s="438">
        <f>IFERROR(('!!'!$D271)*('!!'!W271/('!!'!$G271)),0)</f>
        <v>0</v>
      </c>
      <c r="GN271" s="438">
        <f>IFERROR(('!!'!$D271)*('!!'!X271/('!!'!$G271)),0)</f>
        <v>0</v>
      </c>
      <c r="GO271" s="438">
        <f>IFERROR(('!!'!$D271)*('!!'!Y271/('!!'!$G271)),0)</f>
        <v>0</v>
      </c>
      <c r="GP271" s="438">
        <f>IFERROR(('!!'!$D271)*('!!'!Z270/('!!'!$G271)),0)</f>
        <v>0</v>
      </c>
      <c r="GQ271" s="438">
        <f>IFERROR(('!!'!$D271)*('!!'!Q271/('!!'!$G271)),0)</f>
        <v>0</v>
      </c>
      <c r="GR271" s="429">
        <v>1</v>
      </c>
      <c r="GS271" s="429">
        <v>2</v>
      </c>
      <c r="GT271" s="432">
        <f>Monitoring!C271</f>
        <v>0</v>
      </c>
      <c r="GU271" s="432">
        <f>Reference!$C271</f>
        <v>0</v>
      </c>
      <c r="GV271" s="429">
        <f>Reference!$D271</f>
        <v>0</v>
      </c>
      <c r="GW271" s="440">
        <f t="shared" si="63"/>
        <v>0</v>
      </c>
      <c r="GX271" s="440">
        <f t="shared" si="63"/>
        <v>0</v>
      </c>
      <c r="GY271" s="440">
        <f t="shared" si="63"/>
        <v>0</v>
      </c>
      <c r="GZ271" s="440">
        <f t="shared" si="63"/>
        <v>0</v>
      </c>
      <c r="HA271" s="440"/>
      <c r="HB271" s="440"/>
      <c r="HC271" s="440"/>
      <c r="HD271" s="440"/>
      <c r="HE271" s="429">
        <f t="shared" si="55"/>
        <v>247</v>
      </c>
      <c r="HF271" s="429">
        <f>SUM(GW271*Baseline!$P$24,GX271*Baseline!$P$25,GY271*Baseline!$P$26,GZ271*Baseline!$P$27,HA271*Baseline!$P$28,HB271*Baseline!$P$29,HC271*Baseline!$P$30,HD271*Baseline!$P$31,Baseline!$P$23)</f>
        <v>626.18362874044828</v>
      </c>
      <c r="HG271" s="455" t="e">
        <f t="shared" si="56"/>
        <v>#DIV/0!</v>
      </c>
      <c r="HH271" s="429" t="e">
        <f>IF(HG271&lt;=Baseline!$J$13,1,0)</f>
        <v>#DIV/0!</v>
      </c>
      <c r="HI271" s="429">
        <f t="shared" si="57"/>
        <v>392105.93690255558</v>
      </c>
      <c r="HJ271" s="429">
        <f t="shared" si="52"/>
        <v>48910903.069173105</v>
      </c>
      <c r="HK271" s="429">
        <f t="shared" si="53"/>
        <v>58061606.033611111</v>
      </c>
      <c r="HL271" s="429" t="str">
        <f>IF(HM271=Reference!$I$12,(HF271-GV271),"")</f>
        <v/>
      </c>
      <c r="HM271" s="429" t="str">
        <f>Reference!I271</f>
        <v/>
      </c>
      <c r="HN271" s="429" t="str">
        <f t="shared" si="58"/>
        <v/>
      </c>
    </row>
    <row r="272" spans="189:222" ht="17.25" customHeight="1" x14ac:dyDescent="0.35">
      <c r="GG272" s="432"/>
      <c r="GJ272" s="429" t="str">
        <f>IF(GK272=$GJ$15,$GJ$15,IF(GJ$24=HF$4,SUM(GK$25:GK272),SUM(GL$25:GL272)))</f>
        <v>N</v>
      </c>
      <c r="GK272" s="438" t="str">
        <f>IFERROR('!!'!G272-'!!'!D272,$GJ$15)</f>
        <v>N</v>
      </c>
      <c r="GL272" s="429" t="str">
        <f t="shared" si="54"/>
        <v>N</v>
      </c>
      <c r="GM272" s="438">
        <f>IFERROR(('!!'!$D272)*('!!'!W272/('!!'!$G272)),0)</f>
        <v>0</v>
      </c>
      <c r="GN272" s="438">
        <f>IFERROR(('!!'!$D272)*('!!'!X272/('!!'!$G272)),0)</f>
        <v>0</v>
      </c>
      <c r="GO272" s="438">
        <f>IFERROR(('!!'!$D272)*('!!'!Y272/('!!'!$G272)),0)</f>
        <v>0</v>
      </c>
      <c r="GP272" s="438">
        <f>IFERROR(('!!'!$D272)*('!!'!Z271/('!!'!$G272)),0)</f>
        <v>0</v>
      </c>
      <c r="GQ272" s="438">
        <f>IFERROR(('!!'!$D272)*('!!'!Q272/('!!'!$G272)),0)</f>
        <v>0</v>
      </c>
      <c r="GR272" s="429">
        <v>1</v>
      </c>
      <c r="GS272" s="429">
        <v>2</v>
      </c>
      <c r="GT272" s="432">
        <f>Monitoring!C272</f>
        <v>0</v>
      </c>
      <c r="GU272" s="432">
        <f>Reference!$C272</f>
        <v>0</v>
      </c>
      <c r="GV272" s="429">
        <f>Reference!$D272</f>
        <v>0</v>
      </c>
      <c r="GW272" s="440">
        <f t="shared" si="63"/>
        <v>0</v>
      </c>
      <c r="GX272" s="440">
        <f t="shared" si="63"/>
        <v>0</v>
      </c>
      <c r="GY272" s="440">
        <f t="shared" si="63"/>
        <v>0</v>
      </c>
      <c r="GZ272" s="440">
        <f t="shared" si="63"/>
        <v>0</v>
      </c>
      <c r="HA272" s="440"/>
      <c r="HB272" s="440"/>
      <c r="HC272" s="440"/>
      <c r="HD272" s="440"/>
      <c r="HE272" s="429">
        <f t="shared" si="55"/>
        <v>248</v>
      </c>
      <c r="HF272" s="429">
        <f>SUM(GW272*Baseline!$P$24,GX272*Baseline!$P$25,GY272*Baseline!$P$26,GZ272*Baseline!$P$27,HA272*Baseline!$P$28,HB272*Baseline!$P$29,HC272*Baseline!$P$30,HD272*Baseline!$P$31,Baseline!$P$23)</f>
        <v>626.18362874044828</v>
      </c>
      <c r="HG272" s="455" t="e">
        <f t="shared" si="56"/>
        <v>#DIV/0!</v>
      </c>
      <c r="HH272" s="429" t="e">
        <f>IF(HG272&lt;=Baseline!$J$13,1,0)</f>
        <v>#DIV/0!</v>
      </c>
      <c r="HI272" s="429">
        <f t="shared" si="57"/>
        <v>392105.93690255558</v>
      </c>
      <c r="HJ272" s="429">
        <f t="shared" si="52"/>
        <v>48910903.069173105</v>
      </c>
      <c r="HK272" s="429">
        <f t="shared" si="53"/>
        <v>58061606.033611111</v>
      </c>
      <c r="HL272" s="429" t="str">
        <f>IF(HM272=Reference!$I$12,(HF272-GV272),"")</f>
        <v/>
      </c>
      <c r="HM272" s="429" t="str">
        <f>Reference!I272</f>
        <v/>
      </c>
      <c r="HN272" s="429" t="str">
        <f t="shared" si="58"/>
        <v/>
      </c>
    </row>
    <row r="273" spans="189:222" ht="17.25" customHeight="1" x14ac:dyDescent="0.35">
      <c r="GG273" s="432"/>
      <c r="GJ273" s="429" t="str">
        <f>IF(GK273=$GJ$15,$GJ$15,IF(GJ$24=HF$4,SUM(GK$25:GK273),SUM(GL$25:GL273)))</f>
        <v>N</v>
      </c>
      <c r="GK273" s="438" t="str">
        <f>IFERROR('!!'!G273-'!!'!D273,$GJ$15)</f>
        <v>N</v>
      </c>
      <c r="GL273" s="429" t="str">
        <f t="shared" si="54"/>
        <v>N</v>
      </c>
      <c r="GM273" s="438">
        <f>IFERROR(('!!'!$D273)*('!!'!W273/('!!'!$G273)),0)</f>
        <v>0</v>
      </c>
      <c r="GN273" s="438">
        <f>IFERROR(('!!'!$D273)*('!!'!X273/('!!'!$G273)),0)</f>
        <v>0</v>
      </c>
      <c r="GO273" s="438">
        <f>IFERROR(('!!'!$D273)*('!!'!Y273/('!!'!$G273)),0)</f>
        <v>0</v>
      </c>
      <c r="GP273" s="438">
        <f>IFERROR(('!!'!$D273)*('!!'!Z272/('!!'!$G273)),0)</f>
        <v>0</v>
      </c>
      <c r="GQ273" s="438">
        <f>IFERROR(('!!'!$D273)*('!!'!Q273/('!!'!$G273)),0)</f>
        <v>0</v>
      </c>
      <c r="GR273" s="429">
        <v>1</v>
      </c>
      <c r="GS273" s="429">
        <v>2</v>
      </c>
      <c r="GT273" s="432">
        <f>Monitoring!C273</f>
        <v>0</v>
      </c>
      <c r="GU273" s="432">
        <f>Reference!$C273</f>
        <v>0</v>
      </c>
      <c r="GV273" s="429">
        <f>Reference!$D273</f>
        <v>0</v>
      </c>
      <c r="GW273" s="440">
        <f t="shared" si="63"/>
        <v>0</v>
      </c>
      <c r="GX273" s="440">
        <f t="shared" si="63"/>
        <v>0</v>
      </c>
      <c r="GY273" s="440">
        <f t="shared" si="63"/>
        <v>0</v>
      </c>
      <c r="GZ273" s="440">
        <f t="shared" si="63"/>
        <v>0</v>
      </c>
      <c r="HA273" s="440"/>
      <c r="HB273" s="440"/>
      <c r="HC273" s="440"/>
      <c r="HD273" s="440"/>
      <c r="HE273" s="429">
        <f t="shared" si="55"/>
        <v>249</v>
      </c>
      <c r="HF273" s="429">
        <f>SUM(GW273*Baseline!$P$24,GX273*Baseline!$P$25,GY273*Baseline!$P$26,GZ273*Baseline!$P$27,HA273*Baseline!$P$28,HB273*Baseline!$P$29,HC273*Baseline!$P$30,HD273*Baseline!$P$31,Baseline!$P$23)</f>
        <v>626.18362874044828</v>
      </c>
      <c r="HG273" s="455" t="e">
        <f t="shared" si="56"/>
        <v>#DIV/0!</v>
      </c>
      <c r="HH273" s="429" t="e">
        <f>IF(HG273&lt;=Baseline!$J$13,1,0)</f>
        <v>#DIV/0!</v>
      </c>
      <c r="HI273" s="429">
        <f t="shared" si="57"/>
        <v>392105.93690255558</v>
      </c>
      <c r="HJ273" s="429">
        <f t="shared" si="52"/>
        <v>48910903.069173105</v>
      </c>
      <c r="HK273" s="429">
        <f t="shared" si="53"/>
        <v>58061606.033611111</v>
      </c>
      <c r="HL273" s="429" t="str">
        <f>IF(HM273=Reference!$I$12,(HF273-GV273),"")</f>
        <v/>
      </c>
      <c r="HM273" s="429" t="str">
        <f>Reference!I273</f>
        <v/>
      </c>
      <c r="HN273" s="429" t="str">
        <f t="shared" si="58"/>
        <v/>
      </c>
    </row>
    <row r="274" spans="189:222" ht="17.25" customHeight="1" x14ac:dyDescent="0.35">
      <c r="GG274" s="432"/>
      <c r="GJ274" s="429" t="str">
        <f>IF(GK274=$GJ$15,$GJ$15,IF(GJ$24=HF$4,SUM(GK$25:GK274),SUM(GL$25:GL274)))</f>
        <v>N</v>
      </c>
      <c r="GK274" s="438" t="str">
        <f>IFERROR('!!'!G274-'!!'!D274,$GJ$15)</f>
        <v>N</v>
      </c>
      <c r="GL274" s="429" t="str">
        <f t="shared" si="54"/>
        <v>N</v>
      </c>
      <c r="GM274" s="438">
        <f>IFERROR(('!!'!$D274)*('!!'!W274/('!!'!$G274)),0)</f>
        <v>0</v>
      </c>
      <c r="GN274" s="438">
        <f>IFERROR(('!!'!$D274)*('!!'!X274/('!!'!$G274)),0)</f>
        <v>0</v>
      </c>
      <c r="GO274" s="438">
        <f>IFERROR(('!!'!$D274)*('!!'!Y274/('!!'!$G274)),0)</f>
        <v>0</v>
      </c>
      <c r="GP274" s="438">
        <f>IFERROR(('!!'!$D274)*('!!'!Z273/('!!'!$G274)),0)</f>
        <v>0</v>
      </c>
      <c r="GQ274" s="438">
        <f>IFERROR(('!!'!$D274)*('!!'!Q274/('!!'!$G274)),0)</f>
        <v>0</v>
      </c>
      <c r="GR274" s="429">
        <v>1</v>
      </c>
      <c r="GS274" s="429">
        <v>2</v>
      </c>
      <c r="GT274" s="432">
        <f>Monitoring!C274</f>
        <v>0</v>
      </c>
      <c r="GU274" s="432">
        <f>Reference!$C274</f>
        <v>0</v>
      </c>
      <c r="GV274" s="429">
        <f>Reference!$D274</f>
        <v>0</v>
      </c>
      <c r="GW274" s="440">
        <f t="shared" si="63"/>
        <v>0</v>
      </c>
      <c r="GX274" s="440">
        <f t="shared" si="63"/>
        <v>0</v>
      </c>
      <c r="GY274" s="440">
        <f t="shared" si="63"/>
        <v>0</v>
      </c>
      <c r="GZ274" s="440">
        <f t="shared" si="63"/>
        <v>0</v>
      </c>
      <c r="HA274" s="440"/>
      <c r="HB274" s="440"/>
      <c r="HC274" s="440"/>
      <c r="HD274" s="440"/>
      <c r="HE274" s="429">
        <f t="shared" si="55"/>
        <v>250</v>
      </c>
      <c r="HF274" s="429">
        <f>SUM(GW274*Baseline!$P$24,GX274*Baseline!$P$25,GY274*Baseline!$P$26,GZ274*Baseline!$P$27,HA274*Baseline!$P$28,HB274*Baseline!$P$29,HC274*Baseline!$P$30,HD274*Baseline!$P$31,Baseline!$P$23)</f>
        <v>626.18362874044828</v>
      </c>
      <c r="HG274" s="455" t="e">
        <f t="shared" si="56"/>
        <v>#DIV/0!</v>
      </c>
      <c r="HH274" s="429" t="e">
        <f>IF(HG274&lt;=Baseline!$J$13,1,0)</f>
        <v>#DIV/0!</v>
      </c>
      <c r="HI274" s="429">
        <f t="shared" si="57"/>
        <v>392105.93690255558</v>
      </c>
      <c r="HJ274" s="429">
        <f t="shared" si="52"/>
        <v>48910903.069173105</v>
      </c>
      <c r="HK274" s="429">
        <f t="shared" si="53"/>
        <v>58061606.033611111</v>
      </c>
      <c r="HL274" s="429" t="str">
        <f>IF(HM274=Reference!$I$12,(HF274-GV274),"")</f>
        <v/>
      </c>
      <c r="HM274" s="429" t="str">
        <f>Reference!I274</f>
        <v/>
      </c>
      <c r="HN274" s="429" t="str">
        <f t="shared" si="58"/>
        <v/>
      </c>
    </row>
    <row r="275" spans="189:222" ht="17.25" customHeight="1" x14ac:dyDescent="0.35">
      <c r="GG275" s="432"/>
      <c r="GJ275" s="429" t="str">
        <f>IF(GK275=$GJ$15,$GJ$15,IF(GJ$24=HF$4,SUM(GK$25:GK275),SUM(GL$25:GL275)))</f>
        <v>N</v>
      </c>
      <c r="GK275" s="438" t="str">
        <f>IFERROR('!!'!G275-'!!'!D275,$GJ$15)</f>
        <v>N</v>
      </c>
      <c r="GL275" s="429" t="str">
        <f t="shared" si="54"/>
        <v>N</v>
      </c>
      <c r="GM275" s="438">
        <f>IFERROR(('!!'!$D275)*('!!'!W275/('!!'!$G275)),0)</f>
        <v>0</v>
      </c>
      <c r="GN275" s="438">
        <f>IFERROR(('!!'!$D275)*('!!'!X275/('!!'!$G275)),0)</f>
        <v>0</v>
      </c>
      <c r="GO275" s="438">
        <f>IFERROR(('!!'!$D275)*('!!'!Y275/('!!'!$G275)),0)</f>
        <v>0</v>
      </c>
      <c r="GP275" s="438">
        <f>IFERROR(('!!'!$D275)*('!!'!Z274/('!!'!$G275)),0)</f>
        <v>0</v>
      </c>
      <c r="GQ275" s="438">
        <f>IFERROR(('!!'!$D275)*('!!'!Q275/('!!'!$G275)),0)</f>
        <v>0</v>
      </c>
      <c r="GR275" s="429">
        <v>1</v>
      </c>
      <c r="GS275" s="429">
        <v>2</v>
      </c>
      <c r="GT275" s="432">
        <f>Monitoring!C275</f>
        <v>0</v>
      </c>
      <c r="GU275" s="432">
        <f>Reference!$C275</f>
        <v>0</v>
      </c>
      <c r="GV275" s="429">
        <f>Reference!$D275</f>
        <v>0</v>
      </c>
      <c r="GW275" s="440">
        <f t="shared" ref="GW275:GZ284" si="64">IFERROR(VLOOKUP($GU275,Daten.B,GW$22,FALSE)^GW$23,0)</f>
        <v>0</v>
      </c>
      <c r="GX275" s="440">
        <f t="shared" si="64"/>
        <v>0</v>
      </c>
      <c r="GY275" s="440">
        <f t="shared" si="64"/>
        <v>0</v>
      </c>
      <c r="GZ275" s="440">
        <f t="shared" si="64"/>
        <v>0</v>
      </c>
      <c r="HA275" s="440"/>
      <c r="HB275" s="440"/>
      <c r="HC275" s="440"/>
      <c r="HD275" s="440"/>
      <c r="HE275" s="429">
        <f t="shared" si="55"/>
        <v>251</v>
      </c>
      <c r="HF275" s="429">
        <f>SUM(GW275*Baseline!$P$24,GX275*Baseline!$P$25,GY275*Baseline!$P$26,GZ275*Baseline!$P$27,HA275*Baseline!$P$28,HB275*Baseline!$P$29,HC275*Baseline!$P$30,HD275*Baseline!$P$31,Baseline!$P$23)</f>
        <v>626.18362874044828</v>
      </c>
      <c r="HG275" s="455" t="e">
        <f t="shared" si="56"/>
        <v>#DIV/0!</v>
      </c>
      <c r="HH275" s="429" t="e">
        <f>IF(HG275&lt;=Baseline!$J$13,1,0)</f>
        <v>#DIV/0!</v>
      </c>
      <c r="HI275" s="429">
        <f t="shared" si="57"/>
        <v>392105.93690255558</v>
      </c>
      <c r="HJ275" s="429">
        <f t="shared" si="52"/>
        <v>48910903.069173105</v>
      </c>
      <c r="HK275" s="429">
        <f t="shared" si="53"/>
        <v>58061606.033611111</v>
      </c>
      <c r="HL275" s="429" t="str">
        <f>IF(HM275=Reference!$I$12,(HF275-GV275),"")</f>
        <v/>
      </c>
      <c r="HM275" s="429" t="str">
        <f>Reference!I275</f>
        <v/>
      </c>
      <c r="HN275" s="429" t="str">
        <f t="shared" si="58"/>
        <v/>
      </c>
    </row>
    <row r="276" spans="189:222" ht="17.25" customHeight="1" x14ac:dyDescent="0.35">
      <c r="GG276" s="432"/>
      <c r="GJ276" s="429" t="str">
        <f>IF(GK276=$GJ$15,$GJ$15,IF(GJ$24=HF$4,SUM(GK$25:GK276),SUM(GL$25:GL276)))</f>
        <v>N</v>
      </c>
      <c r="GK276" s="438" t="str">
        <f>IFERROR('!!'!G276-'!!'!D276,$GJ$15)</f>
        <v>N</v>
      </c>
      <c r="GL276" s="429" t="str">
        <f t="shared" si="54"/>
        <v>N</v>
      </c>
      <c r="GM276" s="438">
        <f>IFERROR(('!!'!$D276)*('!!'!W276/('!!'!$G276)),0)</f>
        <v>0</v>
      </c>
      <c r="GN276" s="438">
        <f>IFERROR(('!!'!$D276)*('!!'!X276/('!!'!$G276)),0)</f>
        <v>0</v>
      </c>
      <c r="GO276" s="438">
        <f>IFERROR(('!!'!$D276)*('!!'!Y276/('!!'!$G276)),0)</f>
        <v>0</v>
      </c>
      <c r="GP276" s="438">
        <f>IFERROR(('!!'!$D276)*('!!'!Z275/('!!'!$G276)),0)</f>
        <v>0</v>
      </c>
      <c r="GQ276" s="438">
        <f>IFERROR(('!!'!$D276)*('!!'!Q276/('!!'!$G276)),0)</f>
        <v>0</v>
      </c>
      <c r="GR276" s="429">
        <v>1</v>
      </c>
      <c r="GS276" s="429">
        <v>2</v>
      </c>
      <c r="GT276" s="432">
        <f>Monitoring!C276</f>
        <v>0</v>
      </c>
      <c r="GU276" s="432">
        <f>Reference!$C276</f>
        <v>0</v>
      </c>
      <c r="GV276" s="429">
        <f>Reference!$D276</f>
        <v>0</v>
      </c>
      <c r="GW276" s="440">
        <f t="shared" si="64"/>
        <v>0</v>
      </c>
      <c r="GX276" s="440">
        <f t="shared" si="64"/>
        <v>0</v>
      </c>
      <c r="GY276" s="440">
        <f t="shared" si="64"/>
        <v>0</v>
      </c>
      <c r="GZ276" s="440">
        <f t="shared" si="64"/>
        <v>0</v>
      </c>
      <c r="HA276" s="440"/>
      <c r="HB276" s="440"/>
      <c r="HC276" s="440"/>
      <c r="HD276" s="440"/>
      <c r="HE276" s="429">
        <f t="shared" si="55"/>
        <v>252</v>
      </c>
      <c r="HF276" s="429">
        <f>SUM(GW276*Baseline!$P$24,GX276*Baseline!$P$25,GY276*Baseline!$P$26,GZ276*Baseline!$P$27,HA276*Baseline!$P$28,HB276*Baseline!$P$29,HC276*Baseline!$P$30,HD276*Baseline!$P$31,Baseline!$P$23)</f>
        <v>626.18362874044828</v>
      </c>
      <c r="HG276" s="455" t="e">
        <f t="shared" si="56"/>
        <v>#DIV/0!</v>
      </c>
      <c r="HH276" s="429" t="e">
        <f>IF(HG276&lt;=Baseline!$J$13,1,0)</f>
        <v>#DIV/0!</v>
      </c>
      <c r="HI276" s="429">
        <f t="shared" si="57"/>
        <v>392105.93690255558</v>
      </c>
      <c r="HJ276" s="429">
        <f t="shared" si="52"/>
        <v>48910903.069173105</v>
      </c>
      <c r="HK276" s="429">
        <f t="shared" si="53"/>
        <v>58061606.033611111</v>
      </c>
      <c r="HL276" s="429" t="str">
        <f>IF(HM276=Reference!$I$12,(HF276-GV276),"")</f>
        <v/>
      </c>
      <c r="HM276" s="429" t="str">
        <f>Reference!I276</f>
        <v/>
      </c>
      <c r="HN276" s="429" t="str">
        <f t="shared" si="58"/>
        <v/>
      </c>
    </row>
    <row r="277" spans="189:222" ht="17.25" customHeight="1" x14ac:dyDescent="0.35">
      <c r="GG277" s="432"/>
      <c r="GJ277" s="429" t="str">
        <f>IF(GK277=$GJ$15,$GJ$15,IF(GJ$24=HF$4,SUM(GK$25:GK277),SUM(GL$25:GL277)))</f>
        <v>N</v>
      </c>
      <c r="GK277" s="438" t="str">
        <f>IFERROR('!!'!G277-'!!'!D277,$GJ$15)</f>
        <v>N</v>
      </c>
      <c r="GL277" s="429" t="str">
        <f t="shared" si="54"/>
        <v>N</v>
      </c>
      <c r="GM277" s="438">
        <f>IFERROR(('!!'!$D277)*('!!'!W277/('!!'!$G277)),0)</f>
        <v>0</v>
      </c>
      <c r="GN277" s="438">
        <f>IFERROR(('!!'!$D277)*('!!'!X277/('!!'!$G277)),0)</f>
        <v>0</v>
      </c>
      <c r="GO277" s="438">
        <f>IFERROR(('!!'!$D277)*('!!'!Y277/('!!'!$G277)),0)</f>
        <v>0</v>
      </c>
      <c r="GP277" s="438">
        <f>IFERROR(('!!'!$D277)*('!!'!Z276/('!!'!$G277)),0)</f>
        <v>0</v>
      </c>
      <c r="GQ277" s="438">
        <f>IFERROR(('!!'!$D277)*('!!'!Q277/('!!'!$G277)),0)</f>
        <v>0</v>
      </c>
      <c r="GR277" s="429">
        <v>1</v>
      </c>
      <c r="GS277" s="429">
        <v>2</v>
      </c>
      <c r="GT277" s="432">
        <f>Monitoring!C277</f>
        <v>0</v>
      </c>
      <c r="GU277" s="432">
        <f>Reference!$C277</f>
        <v>0</v>
      </c>
      <c r="GV277" s="429">
        <f>Reference!$D277</f>
        <v>0</v>
      </c>
      <c r="GW277" s="440">
        <f t="shared" si="64"/>
        <v>0</v>
      </c>
      <c r="GX277" s="440">
        <f t="shared" si="64"/>
        <v>0</v>
      </c>
      <c r="GY277" s="440">
        <f t="shared" si="64"/>
        <v>0</v>
      </c>
      <c r="GZ277" s="440">
        <f t="shared" si="64"/>
        <v>0</v>
      </c>
      <c r="HA277" s="440"/>
      <c r="HB277" s="440"/>
      <c r="HC277" s="440"/>
      <c r="HD277" s="440"/>
      <c r="HE277" s="429">
        <f t="shared" si="55"/>
        <v>253</v>
      </c>
      <c r="HF277" s="429">
        <f>SUM(GW277*Baseline!$P$24,GX277*Baseline!$P$25,GY277*Baseline!$P$26,GZ277*Baseline!$P$27,HA277*Baseline!$P$28,HB277*Baseline!$P$29,HC277*Baseline!$P$30,HD277*Baseline!$P$31,Baseline!$P$23)</f>
        <v>626.18362874044828</v>
      </c>
      <c r="HG277" s="455" t="e">
        <f t="shared" si="56"/>
        <v>#DIV/0!</v>
      </c>
      <c r="HH277" s="429" t="e">
        <f>IF(HG277&lt;=Baseline!$J$13,1,0)</f>
        <v>#DIV/0!</v>
      </c>
      <c r="HI277" s="429">
        <f t="shared" si="57"/>
        <v>392105.93690255558</v>
      </c>
      <c r="HJ277" s="429">
        <f t="shared" si="52"/>
        <v>48910903.069173105</v>
      </c>
      <c r="HK277" s="429">
        <f t="shared" si="53"/>
        <v>58061606.033611111</v>
      </c>
      <c r="HL277" s="429" t="str">
        <f>IF(HM277=Reference!$I$12,(HF277-GV277),"")</f>
        <v/>
      </c>
      <c r="HM277" s="429" t="str">
        <f>Reference!I277</f>
        <v/>
      </c>
      <c r="HN277" s="429" t="str">
        <f t="shared" si="58"/>
        <v/>
      </c>
    </row>
    <row r="278" spans="189:222" ht="17.25" customHeight="1" x14ac:dyDescent="0.35">
      <c r="GG278" s="432"/>
      <c r="GJ278" s="429" t="str">
        <f>IF(GK278=$GJ$15,$GJ$15,IF(GJ$24=HF$4,SUM(GK$25:GK278),SUM(GL$25:GL278)))</f>
        <v>N</v>
      </c>
      <c r="GK278" s="438" t="str">
        <f>IFERROR('!!'!G278-'!!'!D278,$GJ$15)</f>
        <v>N</v>
      </c>
      <c r="GL278" s="429" t="str">
        <f t="shared" si="54"/>
        <v>N</v>
      </c>
      <c r="GM278" s="438">
        <f>IFERROR(('!!'!$D278)*('!!'!W278/('!!'!$G278)),0)</f>
        <v>0</v>
      </c>
      <c r="GN278" s="438">
        <f>IFERROR(('!!'!$D278)*('!!'!X278/('!!'!$G278)),0)</f>
        <v>0</v>
      </c>
      <c r="GO278" s="438">
        <f>IFERROR(('!!'!$D278)*('!!'!Y278/('!!'!$G278)),0)</f>
        <v>0</v>
      </c>
      <c r="GP278" s="438">
        <f>IFERROR(('!!'!$D278)*('!!'!Z277/('!!'!$G278)),0)</f>
        <v>0</v>
      </c>
      <c r="GQ278" s="438">
        <f>IFERROR(('!!'!$D278)*('!!'!Q278/('!!'!$G278)),0)</f>
        <v>0</v>
      </c>
      <c r="GR278" s="429">
        <v>1</v>
      </c>
      <c r="GS278" s="429">
        <v>2</v>
      </c>
      <c r="GT278" s="432">
        <f>Monitoring!C278</f>
        <v>0</v>
      </c>
      <c r="GU278" s="432">
        <f>Reference!$C278</f>
        <v>0</v>
      </c>
      <c r="GV278" s="429">
        <f>Reference!$D278</f>
        <v>0</v>
      </c>
      <c r="GW278" s="440">
        <f t="shared" si="64"/>
        <v>0</v>
      </c>
      <c r="GX278" s="440">
        <f t="shared" si="64"/>
        <v>0</v>
      </c>
      <c r="GY278" s="440">
        <f t="shared" si="64"/>
        <v>0</v>
      </c>
      <c r="GZ278" s="440">
        <f t="shared" si="64"/>
        <v>0</v>
      </c>
      <c r="HA278" s="440"/>
      <c r="HB278" s="440"/>
      <c r="HC278" s="440"/>
      <c r="HD278" s="440"/>
      <c r="HE278" s="429">
        <f t="shared" si="55"/>
        <v>254</v>
      </c>
      <c r="HF278" s="429">
        <f>SUM(GW278*Baseline!$P$24,GX278*Baseline!$P$25,GY278*Baseline!$P$26,GZ278*Baseline!$P$27,HA278*Baseline!$P$28,HB278*Baseline!$P$29,HC278*Baseline!$P$30,HD278*Baseline!$P$31,Baseline!$P$23)</f>
        <v>626.18362874044828</v>
      </c>
      <c r="HG278" s="455" t="e">
        <f t="shared" si="56"/>
        <v>#DIV/0!</v>
      </c>
      <c r="HH278" s="429" t="e">
        <f>IF(HG278&lt;=Baseline!$J$13,1,0)</f>
        <v>#DIV/0!</v>
      </c>
      <c r="HI278" s="429">
        <f t="shared" si="57"/>
        <v>392105.93690255558</v>
      </c>
      <c r="HJ278" s="429">
        <f t="shared" si="52"/>
        <v>48910903.069173105</v>
      </c>
      <c r="HK278" s="429">
        <f t="shared" si="53"/>
        <v>58061606.033611111</v>
      </c>
      <c r="HL278" s="429" t="str">
        <f>IF(HM278=Reference!$I$12,(HF278-GV278),"")</f>
        <v/>
      </c>
      <c r="HM278" s="429" t="str">
        <f>Reference!I278</f>
        <v/>
      </c>
      <c r="HN278" s="429" t="str">
        <f t="shared" si="58"/>
        <v/>
      </c>
    </row>
    <row r="279" spans="189:222" ht="17.25" customHeight="1" x14ac:dyDescent="0.35">
      <c r="GG279" s="432"/>
      <c r="GJ279" s="429" t="str">
        <f>IF(GK279=$GJ$15,$GJ$15,IF(GJ$24=HF$4,SUM(GK$25:GK279),SUM(GL$25:GL279)))</f>
        <v>N</v>
      </c>
      <c r="GK279" s="438" t="str">
        <f>IFERROR('!!'!G279-'!!'!D279,$GJ$15)</f>
        <v>N</v>
      </c>
      <c r="GL279" s="429" t="str">
        <f t="shared" si="54"/>
        <v>N</v>
      </c>
      <c r="GM279" s="438">
        <f>IFERROR(('!!'!$D279)*('!!'!W279/('!!'!$G279)),0)</f>
        <v>0</v>
      </c>
      <c r="GN279" s="438">
        <f>IFERROR(('!!'!$D279)*('!!'!X279/('!!'!$G279)),0)</f>
        <v>0</v>
      </c>
      <c r="GO279" s="438">
        <f>IFERROR(('!!'!$D279)*('!!'!Y279/('!!'!$G279)),0)</f>
        <v>0</v>
      </c>
      <c r="GP279" s="438">
        <f>IFERROR(('!!'!$D279)*('!!'!Z278/('!!'!$G279)),0)</f>
        <v>0</v>
      </c>
      <c r="GQ279" s="438">
        <f>IFERROR(('!!'!$D279)*('!!'!Q279/('!!'!$G279)),0)</f>
        <v>0</v>
      </c>
      <c r="GR279" s="429">
        <v>1</v>
      </c>
      <c r="GS279" s="429">
        <v>2</v>
      </c>
      <c r="GT279" s="432">
        <f>Monitoring!C279</f>
        <v>0</v>
      </c>
      <c r="GU279" s="432">
        <f>Reference!$C279</f>
        <v>0</v>
      </c>
      <c r="GV279" s="429">
        <f>Reference!$D279</f>
        <v>0</v>
      </c>
      <c r="GW279" s="440">
        <f t="shared" si="64"/>
        <v>0</v>
      </c>
      <c r="GX279" s="440">
        <f t="shared" si="64"/>
        <v>0</v>
      </c>
      <c r="GY279" s="440">
        <f t="shared" si="64"/>
        <v>0</v>
      </c>
      <c r="GZ279" s="440">
        <f t="shared" si="64"/>
        <v>0</v>
      </c>
      <c r="HA279" s="440"/>
      <c r="HB279" s="440"/>
      <c r="HC279" s="440"/>
      <c r="HD279" s="440"/>
      <c r="HE279" s="429">
        <f t="shared" si="55"/>
        <v>255</v>
      </c>
      <c r="HF279" s="429">
        <f>SUM(GW279*Baseline!$P$24,GX279*Baseline!$P$25,GY279*Baseline!$P$26,GZ279*Baseline!$P$27,HA279*Baseline!$P$28,HB279*Baseline!$P$29,HC279*Baseline!$P$30,HD279*Baseline!$P$31,Baseline!$P$23)</f>
        <v>626.18362874044828</v>
      </c>
      <c r="HG279" s="455" t="e">
        <f t="shared" si="56"/>
        <v>#DIV/0!</v>
      </c>
      <c r="HH279" s="429" t="e">
        <f>IF(HG279&lt;=Baseline!$J$13,1,0)</f>
        <v>#DIV/0!</v>
      </c>
      <c r="HI279" s="429">
        <f t="shared" si="57"/>
        <v>392105.93690255558</v>
      </c>
      <c r="HJ279" s="429">
        <f t="shared" si="52"/>
        <v>48910903.069173105</v>
      </c>
      <c r="HK279" s="429">
        <f t="shared" si="53"/>
        <v>58061606.033611111</v>
      </c>
      <c r="HL279" s="429" t="str">
        <f>IF(HM279=Reference!$I$12,(HF279-GV279),"")</f>
        <v/>
      </c>
      <c r="HM279" s="429" t="str">
        <f>Reference!I279</f>
        <v/>
      </c>
      <c r="HN279" s="429" t="str">
        <f t="shared" si="58"/>
        <v/>
      </c>
    </row>
    <row r="280" spans="189:222" ht="17.25" customHeight="1" x14ac:dyDescent="0.35">
      <c r="GG280" s="432"/>
      <c r="GJ280" s="429" t="str">
        <f>IF(GK280=$GJ$15,$GJ$15,IF(GJ$24=HF$4,SUM(GK$25:GK280),SUM(GL$25:GL280)))</f>
        <v>N</v>
      </c>
      <c r="GK280" s="438" t="str">
        <f>IFERROR('!!'!G280-'!!'!D280,$GJ$15)</f>
        <v>N</v>
      </c>
      <c r="GL280" s="429" t="str">
        <f t="shared" si="54"/>
        <v>N</v>
      </c>
      <c r="GM280" s="438">
        <f>IFERROR(('!!'!$D280)*('!!'!W280/('!!'!$G280)),0)</f>
        <v>0</v>
      </c>
      <c r="GN280" s="438">
        <f>IFERROR(('!!'!$D280)*('!!'!X280/('!!'!$G280)),0)</f>
        <v>0</v>
      </c>
      <c r="GO280" s="438">
        <f>IFERROR(('!!'!$D280)*('!!'!Y280/('!!'!$G280)),0)</f>
        <v>0</v>
      </c>
      <c r="GP280" s="438">
        <f>IFERROR(('!!'!$D280)*('!!'!Z279/('!!'!$G280)),0)</f>
        <v>0</v>
      </c>
      <c r="GQ280" s="438">
        <f>IFERROR(('!!'!$D280)*('!!'!Q280/('!!'!$G280)),0)</f>
        <v>0</v>
      </c>
      <c r="GR280" s="429">
        <v>1</v>
      </c>
      <c r="GS280" s="429">
        <v>2</v>
      </c>
      <c r="GT280" s="432">
        <f>Monitoring!C280</f>
        <v>0</v>
      </c>
      <c r="GU280" s="432">
        <f>Reference!$C280</f>
        <v>0</v>
      </c>
      <c r="GV280" s="429">
        <f>Reference!$D280</f>
        <v>0</v>
      </c>
      <c r="GW280" s="440">
        <f t="shared" si="64"/>
        <v>0</v>
      </c>
      <c r="GX280" s="440">
        <f t="shared" si="64"/>
        <v>0</v>
      </c>
      <c r="GY280" s="440">
        <f t="shared" si="64"/>
        <v>0</v>
      </c>
      <c r="GZ280" s="440">
        <f t="shared" si="64"/>
        <v>0</v>
      </c>
      <c r="HA280" s="440"/>
      <c r="HB280" s="440"/>
      <c r="HC280" s="440"/>
      <c r="HD280" s="440"/>
      <c r="HE280" s="429">
        <f t="shared" si="55"/>
        <v>256</v>
      </c>
      <c r="HF280" s="429">
        <f>SUM(GW280*Baseline!$P$24,GX280*Baseline!$P$25,GY280*Baseline!$P$26,GZ280*Baseline!$P$27,HA280*Baseline!$P$28,HB280*Baseline!$P$29,HC280*Baseline!$P$30,HD280*Baseline!$P$31,Baseline!$P$23)</f>
        <v>626.18362874044828</v>
      </c>
      <c r="HG280" s="455" t="e">
        <f t="shared" si="56"/>
        <v>#DIV/0!</v>
      </c>
      <c r="HH280" s="429" t="e">
        <f>IF(HG280&lt;=Baseline!$J$13,1,0)</f>
        <v>#DIV/0!</v>
      </c>
      <c r="HI280" s="429">
        <f t="shared" si="57"/>
        <v>392105.93690255558</v>
      </c>
      <c r="HJ280" s="429">
        <f t="shared" si="52"/>
        <v>48910903.069173105</v>
      </c>
      <c r="HK280" s="429">
        <f t="shared" si="53"/>
        <v>58061606.033611111</v>
      </c>
      <c r="HL280" s="429" t="str">
        <f>IF(HM280=Reference!$I$12,(HF280-GV280),"")</f>
        <v/>
      </c>
      <c r="HM280" s="429" t="str">
        <f>Reference!I280</f>
        <v/>
      </c>
      <c r="HN280" s="429" t="str">
        <f t="shared" si="58"/>
        <v/>
      </c>
    </row>
    <row r="281" spans="189:222" ht="17.25" customHeight="1" x14ac:dyDescent="0.35">
      <c r="GG281" s="432"/>
      <c r="GJ281" s="429" t="str">
        <f>IF(GK281=$GJ$15,$GJ$15,IF(GJ$24=HF$4,SUM(GK$25:GK281),SUM(GL$25:GL281)))</f>
        <v>N</v>
      </c>
      <c r="GK281" s="438" t="str">
        <f>IFERROR('!!'!G281-'!!'!D281,$GJ$15)</f>
        <v>N</v>
      </c>
      <c r="GL281" s="429" t="str">
        <f t="shared" si="54"/>
        <v>N</v>
      </c>
      <c r="GM281" s="438">
        <f>IFERROR(('!!'!$D281)*('!!'!W281/('!!'!$G281)),0)</f>
        <v>0</v>
      </c>
      <c r="GN281" s="438">
        <f>IFERROR(('!!'!$D281)*('!!'!X281/('!!'!$G281)),0)</f>
        <v>0</v>
      </c>
      <c r="GO281" s="438">
        <f>IFERROR(('!!'!$D281)*('!!'!Y281/('!!'!$G281)),0)</f>
        <v>0</v>
      </c>
      <c r="GP281" s="438">
        <f>IFERROR(('!!'!$D281)*('!!'!Z280/('!!'!$G281)),0)</f>
        <v>0</v>
      </c>
      <c r="GQ281" s="438">
        <f>IFERROR(('!!'!$D281)*('!!'!Q281/('!!'!$G281)),0)</f>
        <v>0</v>
      </c>
      <c r="GR281" s="429">
        <v>1</v>
      </c>
      <c r="GS281" s="429">
        <v>2</v>
      </c>
      <c r="GT281" s="432">
        <f>Monitoring!C281</f>
        <v>0</v>
      </c>
      <c r="GU281" s="432">
        <f>Reference!$C281</f>
        <v>0</v>
      </c>
      <c r="GV281" s="429">
        <f>Reference!$D281</f>
        <v>0</v>
      </c>
      <c r="GW281" s="440">
        <f t="shared" si="64"/>
        <v>0</v>
      </c>
      <c r="GX281" s="440">
        <f t="shared" si="64"/>
        <v>0</v>
      </c>
      <c r="GY281" s="440">
        <f t="shared" si="64"/>
        <v>0</v>
      </c>
      <c r="GZ281" s="440">
        <f t="shared" si="64"/>
        <v>0</v>
      </c>
      <c r="HA281" s="440"/>
      <c r="HB281" s="440"/>
      <c r="HC281" s="440"/>
      <c r="HD281" s="440"/>
      <c r="HE281" s="429">
        <f t="shared" si="55"/>
        <v>257</v>
      </c>
      <c r="HF281" s="429">
        <f>SUM(GW281*Baseline!$P$24,GX281*Baseline!$P$25,GY281*Baseline!$P$26,GZ281*Baseline!$P$27,HA281*Baseline!$P$28,HB281*Baseline!$P$29,HC281*Baseline!$P$30,HD281*Baseline!$P$31,Baseline!$P$23)</f>
        <v>626.18362874044828</v>
      </c>
      <c r="HG281" s="455" t="e">
        <f t="shared" si="56"/>
        <v>#DIV/0!</v>
      </c>
      <c r="HH281" s="429" t="e">
        <f>IF(HG281&lt;=Baseline!$J$13,1,0)</f>
        <v>#DIV/0!</v>
      </c>
      <c r="HI281" s="429">
        <f t="shared" si="57"/>
        <v>392105.93690255558</v>
      </c>
      <c r="HJ281" s="429">
        <f t="shared" ref="HJ281:HJ344" si="65">(HF281-$HG$17)^2</f>
        <v>48910903.069173105</v>
      </c>
      <c r="HK281" s="429">
        <f t="shared" ref="HK281:HK344" si="66">(GV281-$HG$17)^2</f>
        <v>58061606.033611111</v>
      </c>
      <c r="HL281" s="429" t="str">
        <f>IF(HM281=Reference!$I$12,(HF281-GV281),"")</f>
        <v/>
      </c>
      <c r="HM281" s="429" t="str">
        <f>Reference!I281</f>
        <v/>
      </c>
      <c r="HN281" s="429" t="str">
        <f t="shared" si="58"/>
        <v/>
      </c>
    </row>
    <row r="282" spans="189:222" ht="17.25" customHeight="1" x14ac:dyDescent="0.35">
      <c r="GG282" s="432"/>
      <c r="GJ282" s="429" t="str">
        <f>IF(GK282=$GJ$15,$GJ$15,IF(GJ$24=HF$4,SUM(GK$25:GK282),SUM(GL$25:GL282)))</f>
        <v>N</v>
      </c>
      <c r="GK282" s="438" t="str">
        <f>IFERROR('!!'!G282-'!!'!D282,$GJ$15)</f>
        <v>N</v>
      </c>
      <c r="GL282" s="429" t="str">
        <f t="shared" ref="GL282:GL345" si="67">IFERROR(GK282^2^(1/2),"N")</f>
        <v>N</v>
      </c>
      <c r="GM282" s="438">
        <f>IFERROR(('!!'!$D282)*('!!'!W282/('!!'!$G282)),0)</f>
        <v>0</v>
      </c>
      <c r="GN282" s="438">
        <f>IFERROR(('!!'!$D282)*('!!'!X282/('!!'!$G282)),0)</f>
        <v>0</v>
      </c>
      <c r="GO282" s="438">
        <f>IFERROR(('!!'!$D282)*('!!'!Y282/('!!'!$G282)),0)</f>
        <v>0</v>
      </c>
      <c r="GP282" s="438">
        <f>IFERROR(('!!'!$D282)*('!!'!Z281/('!!'!$G282)),0)</f>
        <v>0</v>
      </c>
      <c r="GQ282" s="438">
        <f>IFERROR(('!!'!$D282)*('!!'!Q282/('!!'!$G282)),0)</f>
        <v>0</v>
      </c>
      <c r="GR282" s="429">
        <v>1</v>
      </c>
      <c r="GS282" s="429">
        <v>2</v>
      </c>
      <c r="GT282" s="432">
        <f>Monitoring!C282</f>
        <v>0</v>
      </c>
      <c r="GU282" s="432">
        <f>Reference!$C282</f>
        <v>0</v>
      </c>
      <c r="GV282" s="429">
        <f>Reference!$D282</f>
        <v>0</v>
      </c>
      <c r="GW282" s="440">
        <f t="shared" si="64"/>
        <v>0</v>
      </c>
      <c r="GX282" s="440">
        <f t="shared" si="64"/>
        <v>0</v>
      </c>
      <c r="GY282" s="440">
        <f t="shared" si="64"/>
        <v>0</v>
      </c>
      <c r="GZ282" s="440">
        <f t="shared" si="64"/>
        <v>0</v>
      </c>
      <c r="HA282" s="440"/>
      <c r="HB282" s="440"/>
      <c r="HC282" s="440"/>
      <c r="HD282" s="440"/>
      <c r="HE282" s="429">
        <f t="shared" ref="HE282:HE345" si="68">ROW(HE282)-$HE$24</f>
        <v>258</v>
      </c>
      <c r="HF282" s="429">
        <f>SUM(GW282*Baseline!$P$24,GX282*Baseline!$P$25,GY282*Baseline!$P$26,GZ282*Baseline!$P$27,HA282*Baseline!$P$28,HB282*Baseline!$P$29,HC282*Baseline!$P$30,HD282*Baseline!$P$31,Baseline!$P$23)</f>
        <v>626.18362874044828</v>
      </c>
      <c r="HG282" s="455" t="e">
        <f t="shared" ref="HG282:HG345" si="69">IF(HF282=0,#N/A,ABS((GV282-HF282)/GV282))</f>
        <v>#DIV/0!</v>
      </c>
      <c r="HH282" s="429" t="e">
        <f>IF(HG282&lt;=Baseline!$J$13,1,0)</f>
        <v>#DIV/0!</v>
      </c>
      <c r="HI282" s="429">
        <f t="shared" ref="HI282:HI345" si="70">(GV282-HF282)^2</f>
        <v>392105.93690255558</v>
      </c>
      <c r="HJ282" s="429">
        <f t="shared" si="65"/>
        <v>48910903.069173105</v>
      </c>
      <c r="HK282" s="429">
        <f t="shared" si="66"/>
        <v>58061606.033611111</v>
      </c>
      <c r="HL282" s="429" t="str">
        <f>IF(HM282=Reference!$I$12,(HF282-GV282),"")</f>
        <v/>
      </c>
      <c r="HM282" s="429" t="str">
        <f>Reference!I282</f>
        <v/>
      </c>
      <c r="HN282" s="429" t="str">
        <f t="shared" ref="HN282:HN345" si="71">IFERROR(HL282-0.00001*$HQ$20,"")</f>
        <v/>
      </c>
    </row>
    <row r="283" spans="189:222" ht="17.25" customHeight="1" x14ac:dyDescent="0.35">
      <c r="GG283" s="432"/>
      <c r="GJ283" s="429" t="str">
        <f>IF(GK283=$GJ$15,$GJ$15,IF(GJ$24=HF$4,SUM(GK$25:GK283),SUM(GL$25:GL283)))</f>
        <v>N</v>
      </c>
      <c r="GK283" s="438" t="str">
        <f>IFERROR('!!'!G283-'!!'!D283,$GJ$15)</f>
        <v>N</v>
      </c>
      <c r="GL283" s="429" t="str">
        <f t="shared" si="67"/>
        <v>N</v>
      </c>
      <c r="GM283" s="438">
        <f>IFERROR(('!!'!$D283)*('!!'!W283/('!!'!$G283)),0)</f>
        <v>0</v>
      </c>
      <c r="GN283" s="438">
        <f>IFERROR(('!!'!$D283)*('!!'!X283/('!!'!$G283)),0)</f>
        <v>0</v>
      </c>
      <c r="GO283" s="438">
        <f>IFERROR(('!!'!$D283)*('!!'!Y283/('!!'!$G283)),0)</f>
        <v>0</v>
      </c>
      <c r="GP283" s="438">
        <f>IFERROR(('!!'!$D283)*('!!'!Z282/('!!'!$G283)),0)</f>
        <v>0</v>
      </c>
      <c r="GQ283" s="438">
        <f>IFERROR(('!!'!$D283)*('!!'!Q283/('!!'!$G283)),0)</f>
        <v>0</v>
      </c>
      <c r="GR283" s="429">
        <v>1</v>
      </c>
      <c r="GS283" s="429">
        <v>2</v>
      </c>
      <c r="GT283" s="432">
        <f>Monitoring!C283</f>
        <v>0</v>
      </c>
      <c r="GU283" s="432">
        <f>Reference!$C283</f>
        <v>0</v>
      </c>
      <c r="GV283" s="429">
        <f>Reference!$D283</f>
        <v>0</v>
      </c>
      <c r="GW283" s="440">
        <f t="shared" si="64"/>
        <v>0</v>
      </c>
      <c r="GX283" s="440">
        <f t="shared" si="64"/>
        <v>0</v>
      </c>
      <c r="GY283" s="440">
        <f t="shared" si="64"/>
        <v>0</v>
      </c>
      <c r="GZ283" s="440">
        <f t="shared" si="64"/>
        <v>0</v>
      </c>
      <c r="HA283" s="440"/>
      <c r="HB283" s="440"/>
      <c r="HC283" s="440"/>
      <c r="HD283" s="440"/>
      <c r="HE283" s="429">
        <f t="shared" si="68"/>
        <v>259</v>
      </c>
      <c r="HF283" s="429">
        <f>SUM(GW283*Baseline!$P$24,GX283*Baseline!$P$25,GY283*Baseline!$P$26,GZ283*Baseline!$P$27,HA283*Baseline!$P$28,HB283*Baseline!$P$29,HC283*Baseline!$P$30,HD283*Baseline!$P$31,Baseline!$P$23)</f>
        <v>626.18362874044828</v>
      </c>
      <c r="HG283" s="455" t="e">
        <f t="shared" si="69"/>
        <v>#DIV/0!</v>
      </c>
      <c r="HH283" s="429" t="e">
        <f>IF(HG283&lt;=Baseline!$J$13,1,0)</f>
        <v>#DIV/0!</v>
      </c>
      <c r="HI283" s="429">
        <f t="shared" si="70"/>
        <v>392105.93690255558</v>
      </c>
      <c r="HJ283" s="429">
        <f t="shared" si="65"/>
        <v>48910903.069173105</v>
      </c>
      <c r="HK283" s="429">
        <f t="shared" si="66"/>
        <v>58061606.033611111</v>
      </c>
      <c r="HL283" s="429" t="str">
        <f>IF(HM283=Reference!$I$12,(HF283-GV283),"")</f>
        <v/>
      </c>
      <c r="HM283" s="429" t="str">
        <f>Reference!I283</f>
        <v/>
      </c>
      <c r="HN283" s="429" t="str">
        <f t="shared" si="71"/>
        <v/>
      </c>
    </row>
    <row r="284" spans="189:222" ht="17.25" customHeight="1" x14ac:dyDescent="0.35">
      <c r="GG284" s="432"/>
      <c r="GJ284" s="429" t="str">
        <f>IF(GK284=$GJ$15,$GJ$15,IF(GJ$24=HF$4,SUM(GK$25:GK284),SUM(GL$25:GL284)))</f>
        <v>N</v>
      </c>
      <c r="GK284" s="438" t="str">
        <f>IFERROR('!!'!G284-'!!'!D284,$GJ$15)</f>
        <v>N</v>
      </c>
      <c r="GL284" s="429" t="str">
        <f t="shared" si="67"/>
        <v>N</v>
      </c>
      <c r="GM284" s="438">
        <f>IFERROR(('!!'!$D284)*('!!'!W284/('!!'!$G284)),0)</f>
        <v>0</v>
      </c>
      <c r="GN284" s="438">
        <f>IFERROR(('!!'!$D284)*('!!'!X284/('!!'!$G284)),0)</f>
        <v>0</v>
      </c>
      <c r="GO284" s="438">
        <f>IFERROR(('!!'!$D284)*('!!'!Y284/('!!'!$G284)),0)</f>
        <v>0</v>
      </c>
      <c r="GP284" s="438">
        <f>IFERROR(('!!'!$D284)*('!!'!Z283/('!!'!$G284)),0)</f>
        <v>0</v>
      </c>
      <c r="GQ284" s="438">
        <f>IFERROR(('!!'!$D284)*('!!'!Q284/('!!'!$G284)),0)</f>
        <v>0</v>
      </c>
      <c r="GR284" s="429">
        <v>1</v>
      </c>
      <c r="GS284" s="429">
        <v>2</v>
      </c>
      <c r="GT284" s="432">
        <f>Monitoring!C284</f>
        <v>0</v>
      </c>
      <c r="GU284" s="432">
        <f>Reference!$C284</f>
        <v>0</v>
      </c>
      <c r="GV284" s="429">
        <f>Reference!$D284</f>
        <v>0</v>
      </c>
      <c r="GW284" s="440">
        <f t="shared" si="64"/>
        <v>0</v>
      </c>
      <c r="GX284" s="440">
        <f t="shared" si="64"/>
        <v>0</v>
      </c>
      <c r="GY284" s="440">
        <f t="shared" si="64"/>
        <v>0</v>
      </c>
      <c r="GZ284" s="440">
        <f t="shared" si="64"/>
        <v>0</v>
      </c>
      <c r="HA284" s="440"/>
      <c r="HB284" s="440"/>
      <c r="HC284" s="440"/>
      <c r="HD284" s="440"/>
      <c r="HE284" s="429">
        <f t="shared" si="68"/>
        <v>260</v>
      </c>
      <c r="HF284" s="429">
        <f>SUM(GW284*Baseline!$P$24,GX284*Baseline!$P$25,GY284*Baseline!$P$26,GZ284*Baseline!$P$27,HA284*Baseline!$P$28,HB284*Baseline!$P$29,HC284*Baseline!$P$30,HD284*Baseline!$P$31,Baseline!$P$23)</f>
        <v>626.18362874044828</v>
      </c>
      <c r="HG284" s="455" t="e">
        <f t="shared" si="69"/>
        <v>#DIV/0!</v>
      </c>
      <c r="HH284" s="429" t="e">
        <f>IF(HG284&lt;=Baseline!$J$13,1,0)</f>
        <v>#DIV/0!</v>
      </c>
      <c r="HI284" s="429">
        <f t="shared" si="70"/>
        <v>392105.93690255558</v>
      </c>
      <c r="HJ284" s="429">
        <f t="shared" si="65"/>
        <v>48910903.069173105</v>
      </c>
      <c r="HK284" s="429">
        <f t="shared" si="66"/>
        <v>58061606.033611111</v>
      </c>
      <c r="HL284" s="429" t="str">
        <f>IF(HM284=Reference!$I$12,(HF284-GV284),"")</f>
        <v/>
      </c>
      <c r="HM284" s="429" t="str">
        <f>Reference!I284</f>
        <v/>
      </c>
      <c r="HN284" s="429" t="str">
        <f t="shared" si="71"/>
        <v/>
      </c>
    </row>
    <row r="285" spans="189:222" ht="17.25" customHeight="1" x14ac:dyDescent="0.35">
      <c r="GG285" s="432"/>
      <c r="GJ285" s="429" t="str">
        <f>IF(GK285=$GJ$15,$GJ$15,IF(GJ$24=HF$4,SUM(GK$25:GK285),SUM(GL$25:GL285)))</f>
        <v>N</v>
      </c>
      <c r="GK285" s="438" t="str">
        <f>IFERROR('!!'!G285-'!!'!D285,$GJ$15)</f>
        <v>N</v>
      </c>
      <c r="GL285" s="429" t="str">
        <f t="shared" si="67"/>
        <v>N</v>
      </c>
      <c r="GM285" s="438">
        <f>IFERROR(('!!'!$D285)*('!!'!W285/('!!'!$G285)),0)</f>
        <v>0</v>
      </c>
      <c r="GN285" s="438">
        <f>IFERROR(('!!'!$D285)*('!!'!X285/('!!'!$G285)),0)</f>
        <v>0</v>
      </c>
      <c r="GO285" s="438">
        <f>IFERROR(('!!'!$D285)*('!!'!Y285/('!!'!$G285)),0)</f>
        <v>0</v>
      </c>
      <c r="GP285" s="438">
        <f>IFERROR(('!!'!$D285)*('!!'!Z284/('!!'!$G285)),0)</f>
        <v>0</v>
      </c>
      <c r="GQ285" s="438">
        <f>IFERROR(('!!'!$D285)*('!!'!Q285/('!!'!$G285)),0)</f>
        <v>0</v>
      </c>
      <c r="GR285" s="429">
        <v>1</v>
      </c>
      <c r="GS285" s="429">
        <v>2</v>
      </c>
      <c r="GT285" s="432">
        <f>Monitoring!C285</f>
        <v>0</v>
      </c>
      <c r="GU285" s="432">
        <f>Reference!$C285</f>
        <v>0</v>
      </c>
      <c r="GV285" s="429">
        <f>Reference!$D285</f>
        <v>0</v>
      </c>
      <c r="GW285" s="440">
        <f t="shared" ref="GW285:GZ294" si="72">IFERROR(VLOOKUP($GU285,Daten.B,GW$22,FALSE)^GW$23,0)</f>
        <v>0</v>
      </c>
      <c r="GX285" s="440">
        <f t="shared" si="72"/>
        <v>0</v>
      </c>
      <c r="GY285" s="440">
        <f t="shared" si="72"/>
        <v>0</v>
      </c>
      <c r="GZ285" s="440">
        <f t="shared" si="72"/>
        <v>0</v>
      </c>
      <c r="HA285" s="440"/>
      <c r="HB285" s="440"/>
      <c r="HC285" s="440"/>
      <c r="HD285" s="440"/>
      <c r="HE285" s="429">
        <f t="shared" si="68"/>
        <v>261</v>
      </c>
      <c r="HF285" s="429">
        <f>SUM(GW285*Baseline!$P$24,GX285*Baseline!$P$25,GY285*Baseline!$P$26,GZ285*Baseline!$P$27,HA285*Baseline!$P$28,HB285*Baseline!$P$29,HC285*Baseline!$P$30,HD285*Baseline!$P$31,Baseline!$P$23)</f>
        <v>626.18362874044828</v>
      </c>
      <c r="HG285" s="455" t="e">
        <f t="shared" si="69"/>
        <v>#DIV/0!</v>
      </c>
      <c r="HH285" s="429" t="e">
        <f>IF(HG285&lt;=Baseline!$J$13,1,0)</f>
        <v>#DIV/0!</v>
      </c>
      <c r="HI285" s="429">
        <f t="shared" si="70"/>
        <v>392105.93690255558</v>
      </c>
      <c r="HJ285" s="429">
        <f t="shared" si="65"/>
        <v>48910903.069173105</v>
      </c>
      <c r="HK285" s="429">
        <f t="shared" si="66"/>
        <v>58061606.033611111</v>
      </c>
      <c r="HL285" s="429" t="str">
        <f>IF(HM285=Reference!$I$12,(HF285-GV285),"")</f>
        <v/>
      </c>
      <c r="HM285" s="429" t="str">
        <f>Reference!I285</f>
        <v/>
      </c>
      <c r="HN285" s="429" t="str">
        <f t="shared" si="71"/>
        <v/>
      </c>
    </row>
    <row r="286" spans="189:222" ht="17.25" customHeight="1" x14ac:dyDescent="0.35">
      <c r="GG286" s="432"/>
      <c r="GJ286" s="429" t="str">
        <f>IF(GK286=$GJ$15,$GJ$15,IF(GJ$24=HF$4,SUM(GK$25:GK286),SUM(GL$25:GL286)))</f>
        <v>N</v>
      </c>
      <c r="GK286" s="438" t="str">
        <f>IFERROR('!!'!G286-'!!'!D286,$GJ$15)</f>
        <v>N</v>
      </c>
      <c r="GL286" s="429" t="str">
        <f t="shared" si="67"/>
        <v>N</v>
      </c>
      <c r="GM286" s="438">
        <f>IFERROR(('!!'!$D286)*('!!'!W286/('!!'!$G286)),0)</f>
        <v>0</v>
      </c>
      <c r="GN286" s="438">
        <f>IFERROR(('!!'!$D286)*('!!'!X286/('!!'!$G286)),0)</f>
        <v>0</v>
      </c>
      <c r="GO286" s="438">
        <f>IFERROR(('!!'!$D286)*('!!'!Y286/('!!'!$G286)),0)</f>
        <v>0</v>
      </c>
      <c r="GP286" s="438">
        <f>IFERROR(('!!'!$D286)*('!!'!Z285/('!!'!$G286)),0)</f>
        <v>0</v>
      </c>
      <c r="GQ286" s="438">
        <f>IFERROR(('!!'!$D286)*('!!'!Q286/('!!'!$G286)),0)</f>
        <v>0</v>
      </c>
      <c r="GR286" s="429">
        <v>1</v>
      </c>
      <c r="GS286" s="429">
        <v>2</v>
      </c>
      <c r="GT286" s="432">
        <f>Monitoring!C286</f>
        <v>0</v>
      </c>
      <c r="GU286" s="432">
        <f>Reference!$C286</f>
        <v>0</v>
      </c>
      <c r="GV286" s="429">
        <f>Reference!$D286</f>
        <v>0</v>
      </c>
      <c r="GW286" s="440">
        <f t="shared" si="72"/>
        <v>0</v>
      </c>
      <c r="GX286" s="440">
        <f t="shared" si="72"/>
        <v>0</v>
      </c>
      <c r="GY286" s="440">
        <f t="shared" si="72"/>
        <v>0</v>
      </c>
      <c r="GZ286" s="440">
        <f t="shared" si="72"/>
        <v>0</v>
      </c>
      <c r="HA286" s="440"/>
      <c r="HB286" s="440"/>
      <c r="HC286" s="440"/>
      <c r="HD286" s="440"/>
      <c r="HE286" s="429">
        <f t="shared" si="68"/>
        <v>262</v>
      </c>
      <c r="HF286" s="429">
        <f>SUM(GW286*Baseline!$P$24,GX286*Baseline!$P$25,GY286*Baseline!$P$26,GZ286*Baseline!$P$27,HA286*Baseline!$P$28,HB286*Baseline!$P$29,HC286*Baseline!$P$30,HD286*Baseline!$P$31,Baseline!$P$23)</f>
        <v>626.18362874044828</v>
      </c>
      <c r="HG286" s="455" t="e">
        <f t="shared" si="69"/>
        <v>#DIV/0!</v>
      </c>
      <c r="HH286" s="429" t="e">
        <f>IF(HG286&lt;=Baseline!$J$13,1,0)</f>
        <v>#DIV/0!</v>
      </c>
      <c r="HI286" s="429">
        <f t="shared" si="70"/>
        <v>392105.93690255558</v>
      </c>
      <c r="HJ286" s="429">
        <f t="shared" si="65"/>
        <v>48910903.069173105</v>
      </c>
      <c r="HK286" s="429">
        <f t="shared" si="66"/>
        <v>58061606.033611111</v>
      </c>
      <c r="HL286" s="429" t="str">
        <f>IF(HM286=Reference!$I$12,(HF286-GV286),"")</f>
        <v/>
      </c>
      <c r="HM286" s="429" t="str">
        <f>Reference!I286</f>
        <v/>
      </c>
      <c r="HN286" s="429" t="str">
        <f t="shared" si="71"/>
        <v/>
      </c>
    </row>
    <row r="287" spans="189:222" ht="17.25" customHeight="1" x14ac:dyDescent="0.35">
      <c r="GG287" s="432"/>
      <c r="GJ287" s="429" t="str">
        <f>IF(GK287=$GJ$15,$GJ$15,IF(GJ$24=HF$4,SUM(GK$25:GK287),SUM(GL$25:GL287)))</f>
        <v>N</v>
      </c>
      <c r="GK287" s="438" t="str">
        <f>IFERROR('!!'!G287-'!!'!D287,$GJ$15)</f>
        <v>N</v>
      </c>
      <c r="GL287" s="429" t="str">
        <f t="shared" si="67"/>
        <v>N</v>
      </c>
      <c r="GM287" s="438">
        <f>IFERROR(('!!'!$D287)*('!!'!W287/('!!'!$G287)),0)</f>
        <v>0</v>
      </c>
      <c r="GN287" s="438">
        <f>IFERROR(('!!'!$D287)*('!!'!X287/('!!'!$G287)),0)</f>
        <v>0</v>
      </c>
      <c r="GO287" s="438">
        <f>IFERROR(('!!'!$D287)*('!!'!Y287/('!!'!$G287)),0)</f>
        <v>0</v>
      </c>
      <c r="GP287" s="438">
        <f>IFERROR(('!!'!$D287)*('!!'!Z286/('!!'!$G287)),0)</f>
        <v>0</v>
      </c>
      <c r="GQ287" s="438">
        <f>IFERROR(('!!'!$D287)*('!!'!Q287/('!!'!$G287)),0)</f>
        <v>0</v>
      </c>
      <c r="GR287" s="429">
        <v>1</v>
      </c>
      <c r="GS287" s="429">
        <v>2</v>
      </c>
      <c r="GT287" s="432">
        <f>Monitoring!C287</f>
        <v>0</v>
      </c>
      <c r="GU287" s="432">
        <f>Reference!$C287</f>
        <v>0</v>
      </c>
      <c r="GV287" s="429">
        <f>Reference!$D287</f>
        <v>0</v>
      </c>
      <c r="GW287" s="440">
        <f t="shared" si="72"/>
        <v>0</v>
      </c>
      <c r="GX287" s="440">
        <f t="shared" si="72"/>
        <v>0</v>
      </c>
      <c r="GY287" s="440">
        <f t="shared" si="72"/>
        <v>0</v>
      </c>
      <c r="GZ287" s="440">
        <f t="shared" si="72"/>
        <v>0</v>
      </c>
      <c r="HA287" s="440"/>
      <c r="HB287" s="440"/>
      <c r="HC287" s="440"/>
      <c r="HD287" s="440"/>
      <c r="HE287" s="429">
        <f t="shared" si="68"/>
        <v>263</v>
      </c>
      <c r="HF287" s="429">
        <f>SUM(GW287*Baseline!$P$24,GX287*Baseline!$P$25,GY287*Baseline!$P$26,GZ287*Baseline!$P$27,HA287*Baseline!$P$28,HB287*Baseline!$P$29,HC287*Baseline!$P$30,HD287*Baseline!$P$31,Baseline!$P$23)</f>
        <v>626.18362874044828</v>
      </c>
      <c r="HG287" s="455" t="e">
        <f t="shared" si="69"/>
        <v>#DIV/0!</v>
      </c>
      <c r="HH287" s="429" t="e">
        <f>IF(HG287&lt;=Baseline!$J$13,1,0)</f>
        <v>#DIV/0!</v>
      </c>
      <c r="HI287" s="429">
        <f t="shared" si="70"/>
        <v>392105.93690255558</v>
      </c>
      <c r="HJ287" s="429">
        <f t="shared" si="65"/>
        <v>48910903.069173105</v>
      </c>
      <c r="HK287" s="429">
        <f t="shared" si="66"/>
        <v>58061606.033611111</v>
      </c>
      <c r="HL287" s="429" t="str">
        <f>IF(HM287=Reference!$I$12,(HF287-GV287),"")</f>
        <v/>
      </c>
      <c r="HM287" s="429" t="str">
        <f>Reference!I287</f>
        <v/>
      </c>
      <c r="HN287" s="429" t="str">
        <f t="shared" si="71"/>
        <v/>
      </c>
    </row>
    <row r="288" spans="189:222" ht="17.25" customHeight="1" x14ac:dyDescent="0.35">
      <c r="GG288" s="432"/>
      <c r="GJ288" s="429" t="str">
        <f>IF(GK288=$GJ$15,$GJ$15,IF(GJ$24=HF$4,SUM(GK$25:GK288),SUM(GL$25:GL288)))</f>
        <v>N</v>
      </c>
      <c r="GK288" s="438" t="str">
        <f>IFERROR('!!'!G288-'!!'!D288,$GJ$15)</f>
        <v>N</v>
      </c>
      <c r="GL288" s="429" t="str">
        <f t="shared" si="67"/>
        <v>N</v>
      </c>
      <c r="GM288" s="438">
        <f>IFERROR(('!!'!$D288)*('!!'!W288/('!!'!$G288)),0)</f>
        <v>0</v>
      </c>
      <c r="GN288" s="438">
        <f>IFERROR(('!!'!$D288)*('!!'!X288/('!!'!$G288)),0)</f>
        <v>0</v>
      </c>
      <c r="GO288" s="438">
        <f>IFERROR(('!!'!$D288)*('!!'!Y288/('!!'!$G288)),0)</f>
        <v>0</v>
      </c>
      <c r="GP288" s="438">
        <f>IFERROR(('!!'!$D288)*('!!'!Z287/('!!'!$G288)),0)</f>
        <v>0</v>
      </c>
      <c r="GQ288" s="438">
        <f>IFERROR(('!!'!$D288)*('!!'!Q288/('!!'!$G288)),0)</f>
        <v>0</v>
      </c>
      <c r="GR288" s="429">
        <v>1</v>
      </c>
      <c r="GS288" s="429">
        <v>2</v>
      </c>
      <c r="GT288" s="432">
        <f>Monitoring!C288</f>
        <v>0</v>
      </c>
      <c r="GU288" s="432">
        <f>Reference!$C288</f>
        <v>0</v>
      </c>
      <c r="GV288" s="429">
        <f>Reference!$D288</f>
        <v>0</v>
      </c>
      <c r="GW288" s="440">
        <f t="shared" si="72"/>
        <v>0</v>
      </c>
      <c r="GX288" s="440">
        <f t="shared" si="72"/>
        <v>0</v>
      </c>
      <c r="GY288" s="440">
        <f t="shared" si="72"/>
        <v>0</v>
      </c>
      <c r="GZ288" s="440">
        <f t="shared" si="72"/>
        <v>0</v>
      </c>
      <c r="HA288" s="440"/>
      <c r="HB288" s="440"/>
      <c r="HC288" s="440"/>
      <c r="HD288" s="440"/>
      <c r="HE288" s="429">
        <f t="shared" si="68"/>
        <v>264</v>
      </c>
      <c r="HF288" s="429">
        <f>SUM(GW288*Baseline!$P$24,GX288*Baseline!$P$25,GY288*Baseline!$P$26,GZ288*Baseline!$P$27,HA288*Baseline!$P$28,HB288*Baseline!$P$29,HC288*Baseline!$P$30,HD288*Baseline!$P$31,Baseline!$P$23)</f>
        <v>626.18362874044828</v>
      </c>
      <c r="HG288" s="455" t="e">
        <f t="shared" si="69"/>
        <v>#DIV/0!</v>
      </c>
      <c r="HH288" s="429" t="e">
        <f>IF(HG288&lt;=Baseline!$J$13,1,0)</f>
        <v>#DIV/0!</v>
      </c>
      <c r="HI288" s="429">
        <f t="shared" si="70"/>
        <v>392105.93690255558</v>
      </c>
      <c r="HJ288" s="429">
        <f t="shared" si="65"/>
        <v>48910903.069173105</v>
      </c>
      <c r="HK288" s="429">
        <f t="shared" si="66"/>
        <v>58061606.033611111</v>
      </c>
      <c r="HL288" s="429" t="str">
        <f>IF(HM288=Reference!$I$12,(HF288-GV288),"")</f>
        <v/>
      </c>
      <c r="HM288" s="429" t="str">
        <f>Reference!I288</f>
        <v/>
      </c>
      <c r="HN288" s="429" t="str">
        <f t="shared" si="71"/>
        <v/>
      </c>
    </row>
    <row r="289" spans="189:222" ht="17.25" customHeight="1" x14ac:dyDescent="0.35">
      <c r="GG289" s="432"/>
      <c r="GJ289" s="429" t="str">
        <f>IF(GK289=$GJ$15,$GJ$15,IF(GJ$24=HF$4,SUM(GK$25:GK289),SUM(GL$25:GL289)))</f>
        <v>N</v>
      </c>
      <c r="GK289" s="438" t="str">
        <f>IFERROR('!!'!G289-'!!'!D289,$GJ$15)</f>
        <v>N</v>
      </c>
      <c r="GL289" s="429" t="str">
        <f t="shared" si="67"/>
        <v>N</v>
      </c>
      <c r="GM289" s="438">
        <f>IFERROR(('!!'!$D289)*('!!'!W289/('!!'!$G289)),0)</f>
        <v>0</v>
      </c>
      <c r="GN289" s="438">
        <f>IFERROR(('!!'!$D289)*('!!'!X289/('!!'!$G289)),0)</f>
        <v>0</v>
      </c>
      <c r="GO289" s="438">
        <f>IFERROR(('!!'!$D289)*('!!'!Y289/('!!'!$G289)),0)</f>
        <v>0</v>
      </c>
      <c r="GP289" s="438">
        <f>IFERROR(('!!'!$D289)*('!!'!Z288/('!!'!$G289)),0)</f>
        <v>0</v>
      </c>
      <c r="GQ289" s="438">
        <f>IFERROR(('!!'!$D289)*('!!'!Q289/('!!'!$G289)),0)</f>
        <v>0</v>
      </c>
      <c r="GR289" s="429">
        <v>1</v>
      </c>
      <c r="GS289" s="429">
        <v>2</v>
      </c>
      <c r="GT289" s="432">
        <f>Monitoring!C289</f>
        <v>0</v>
      </c>
      <c r="GU289" s="432">
        <f>Reference!$C289</f>
        <v>0</v>
      </c>
      <c r="GV289" s="429">
        <f>Reference!$D289</f>
        <v>0</v>
      </c>
      <c r="GW289" s="440">
        <f t="shared" si="72"/>
        <v>0</v>
      </c>
      <c r="GX289" s="440">
        <f t="shared" si="72"/>
        <v>0</v>
      </c>
      <c r="GY289" s="440">
        <f t="shared" si="72"/>
        <v>0</v>
      </c>
      <c r="GZ289" s="440">
        <f t="shared" si="72"/>
        <v>0</v>
      </c>
      <c r="HA289" s="440"/>
      <c r="HB289" s="440"/>
      <c r="HC289" s="440"/>
      <c r="HD289" s="440"/>
      <c r="HE289" s="429">
        <f t="shared" si="68"/>
        <v>265</v>
      </c>
      <c r="HF289" s="429">
        <f>SUM(GW289*Baseline!$P$24,GX289*Baseline!$P$25,GY289*Baseline!$P$26,GZ289*Baseline!$P$27,HA289*Baseline!$P$28,HB289*Baseline!$P$29,HC289*Baseline!$P$30,HD289*Baseline!$P$31,Baseline!$P$23)</f>
        <v>626.18362874044828</v>
      </c>
      <c r="HG289" s="455" t="e">
        <f t="shared" si="69"/>
        <v>#DIV/0!</v>
      </c>
      <c r="HH289" s="429" t="e">
        <f>IF(HG289&lt;=Baseline!$J$13,1,0)</f>
        <v>#DIV/0!</v>
      </c>
      <c r="HI289" s="429">
        <f t="shared" si="70"/>
        <v>392105.93690255558</v>
      </c>
      <c r="HJ289" s="429">
        <f t="shared" si="65"/>
        <v>48910903.069173105</v>
      </c>
      <c r="HK289" s="429">
        <f t="shared" si="66"/>
        <v>58061606.033611111</v>
      </c>
      <c r="HL289" s="429" t="str">
        <f>IF(HM289=Reference!$I$12,(HF289-GV289),"")</f>
        <v/>
      </c>
      <c r="HM289" s="429" t="str">
        <f>Reference!I289</f>
        <v/>
      </c>
      <c r="HN289" s="429" t="str">
        <f t="shared" si="71"/>
        <v/>
      </c>
    </row>
    <row r="290" spans="189:222" ht="17.25" customHeight="1" x14ac:dyDescent="0.35">
      <c r="GG290" s="432"/>
      <c r="GJ290" s="429" t="str">
        <f>IF(GK290=$GJ$15,$GJ$15,IF(GJ$24=HF$4,SUM(GK$25:GK290),SUM(GL$25:GL290)))</f>
        <v>N</v>
      </c>
      <c r="GK290" s="438" t="str">
        <f>IFERROR('!!'!G290-'!!'!D290,$GJ$15)</f>
        <v>N</v>
      </c>
      <c r="GL290" s="429" t="str">
        <f t="shared" si="67"/>
        <v>N</v>
      </c>
      <c r="GM290" s="438">
        <f>IFERROR(('!!'!$D290)*('!!'!W290/('!!'!$G290)),0)</f>
        <v>0</v>
      </c>
      <c r="GN290" s="438">
        <f>IFERROR(('!!'!$D290)*('!!'!X290/('!!'!$G290)),0)</f>
        <v>0</v>
      </c>
      <c r="GO290" s="438">
        <f>IFERROR(('!!'!$D290)*('!!'!Y290/('!!'!$G290)),0)</f>
        <v>0</v>
      </c>
      <c r="GP290" s="438">
        <f>IFERROR(('!!'!$D290)*('!!'!Z289/('!!'!$G290)),0)</f>
        <v>0</v>
      </c>
      <c r="GQ290" s="438">
        <f>IFERROR(('!!'!$D290)*('!!'!Q290/('!!'!$G290)),0)</f>
        <v>0</v>
      </c>
      <c r="GR290" s="429">
        <v>1</v>
      </c>
      <c r="GS290" s="429">
        <v>2</v>
      </c>
      <c r="GT290" s="432">
        <f>Monitoring!C290</f>
        <v>0</v>
      </c>
      <c r="GU290" s="432">
        <f>Reference!$C290</f>
        <v>0</v>
      </c>
      <c r="GV290" s="429">
        <f>Reference!$D290</f>
        <v>0</v>
      </c>
      <c r="GW290" s="440">
        <f t="shared" si="72"/>
        <v>0</v>
      </c>
      <c r="GX290" s="440">
        <f t="shared" si="72"/>
        <v>0</v>
      </c>
      <c r="GY290" s="440">
        <f t="shared" si="72"/>
        <v>0</v>
      </c>
      <c r="GZ290" s="440">
        <f t="shared" si="72"/>
        <v>0</v>
      </c>
      <c r="HA290" s="440"/>
      <c r="HB290" s="440"/>
      <c r="HC290" s="440"/>
      <c r="HD290" s="440"/>
      <c r="HE290" s="429">
        <f t="shared" si="68"/>
        <v>266</v>
      </c>
      <c r="HF290" s="429">
        <f>SUM(GW290*Baseline!$P$24,GX290*Baseline!$P$25,GY290*Baseline!$P$26,GZ290*Baseline!$P$27,HA290*Baseline!$P$28,HB290*Baseline!$P$29,HC290*Baseline!$P$30,HD290*Baseline!$P$31,Baseline!$P$23)</f>
        <v>626.18362874044828</v>
      </c>
      <c r="HG290" s="455" t="e">
        <f t="shared" si="69"/>
        <v>#DIV/0!</v>
      </c>
      <c r="HH290" s="429" t="e">
        <f>IF(HG290&lt;=Baseline!$J$13,1,0)</f>
        <v>#DIV/0!</v>
      </c>
      <c r="HI290" s="429">
        <f t="shared" si="70"/>
        <v>392105.93690255558</v>
      </c>
      <c r="HJ290" s="429">
        <f t="shared" si="65"/>
        <v>48910903.069173105</v>
      </c>
      <c r="HK290" s="429">
        <f t="shared" si="66"/>
        <v>58061606.033611111</v>
      </c>
      <c r="HL290" s="429" t="str">
        <f>IF(HM290=Reference!$I$12,(HF290-GV290),"")</f>
        <v/>
      </c>
      <c r="HM290" s="429" t="str">
        <f>Reference!I290</f>
        <v/>
      </c>
      <c r="HN290" s="429" t="str">
        <f t="shared" si="71"/>
        <v/>
      </c>
    </row>
    <row r="291" spans="189:222" ht="17.25" customHeight="1" x14ac:dyDescent="0.35">
      <c r="GG291" s="432"/>
      <c r="GJ291" s="429" t="str">
        <f>IF(GK291=$GJ$15,$GJ$15,IF(GJ$24=HF$4,SUM(GK$25:GK291),SUM(GL$25:GL291)))</f>
        <v>N</v>
      </c>
      <c r="GK291" s="438" t="str">
        <f>IFERROR('!!'!G291-'!!'!D291,$GJ$15)</f>
        <v>N</v>
      </c>
      <c r="GL291" s="429" t="str">
        <f t="shared" si="67"/>
        <v>N</v>
      </c>
      <c r="GM291" s="438">
        <f>IFERROR(('!!'!$D291)*('!!'!W291/('!!'!$G291)),0)</f>
        <v>0</v>
      </c>
      <c r="GN291" s="438">
        <f>IFERROR(('!!'!$D291)*('!!'!X291/('!!'!$G291)),0)</f>
        <v>0</v>
      </c>
      <c r="GO291" s="438">
        <f>IFERROR(('!!'!$D291)*('!!'!Y291/('!!'!$G291)),0)</f>
        <v>0</v>
      </c>
      <c r="GP291" s="438">
        <f>IFERROR(('!!'!$D291)*('!!'!Z290/('!!'!$G291)),0)</f>
        <v>0</v>
      </c>
      <c r="GQ291" s="438">
        <f>IFERROR(('!!'!$D291)*('!!'!Q291/('!!'!$G291)),0)</f>
        <v>0</v>
      </c>
      <c r="GR291" s="429">
        <v>1</v>
      </c>
      <c r="GS291" s="429">
        <v>2</v>
      </c>
      <c r="GT291" s="432">
        <f>Monitoring!C291</f>
        <v>0</v>
      </c>
      <c r="GU291" s="432">
        <f>Reference!$C291</f>
        <v>0</v>
      </c>
      <c r="GV291" s="429">
        <f>Reference!$D291</f>
        <v>0</v>
      </c>
      <c r="GW291" s="440">
        <f t="shared" si="72"/>
        <v>0</v>
      </c>
      <c r="GX291" s="440">
        <f t="shared" si="72"/>
        <v>0</v>
      </c>
      <c r="GY291" s="440">
        <f t="shared" si="72"/>
        <v>0</v>
      </c>
      <c r="GZ291" s="440">
        <f t="shared" si="72"/>
        <v>0</v>
      </c>
      <c r="HA291" s="440"/>
      <c r="HB291" s="440"/>
      <c r="HC291" s="440"/>
      <c r="HD291" s="440"/>
      <c r="HE291" s="429">
        <f t="shared" si="68"/>
        <v>267</v>
      </c>
      <c r="HF291" s="429">
        <f>SUM(GW291*Baseline!$P$24,GX291*Baseline!$P$25,GY291*Baseline!$P$26,GZ291*Baseline!$P$27,HA291*Baseline!$P$28,HB291*Baseline!$P$29,HC291*Baseline!$P$30,HD291*Baseline!$P$31,Baseline!$P$23)</f>
        <v>626.18362874044828</v>
      </c>
      <c r="HG291" s="455" t="e">
        <f t="shared" si="69"/>
        <v>#DIV/0!</v>
      </c>
      <c r="HH291" s="429" t="e">
        <f>IF(HG291&lt;=Baseline!$J$13,1,0)</f>
        <v>#DIV/0!</v>
      </c>
      <c r="HI291" s="429">
        <f t="shared" si="70"/>
        <v>392105.93690255558</v>
      </c>
      <c r="HJ291" s="429">
        <f t="shared" si="65"/>
        <v>48910903.069173105</v>
      </c>
      <c r="HK291" s="429">
        <f t="shared" si="66"/>
        <v>58061606.033611111</v>
      </c>
      <c r="HL291" s="429" t="str">
        <f>IF(HM291=Reference!$I$12,(HF291-GV291),"")</f>
        <v/>
      </c>
      <c r="HM291" s="429" t="str">
        <f>Reference!I291</f>
        <v/>
      </c>
      <c r="HN291" s="429" t="str">
        <f t="shared" si="71"/>
        <v/>
      </c>
    </row>
    <row r="292" spans="189:222" ht="17.25" customHeight="1" x14ac:dyDescent="0.35">
      <c r="GG292" s="432"/>
      <c r="GJ292" s="429" t="str">
        <f>IF(GK292=$GJ$15,$GJ$15,IF(GJ$24=HF$4,SUM(GK$25:GK292),SUM(GL$25:GL292)))</f>
        <v>N</v>
      </c>
      <c r="GK292" s="438" t="str">
        <f>IFERROR('!!'!G292-'!!'!D292,$GJ$15)</f>
        <v>N</v>
      </c>
      <c r="GL292" s="429" t="str">
        <f t="shared" si="67"/>
        <v>N</v>
      </c>
      <c r="GM292" s="438">
        <f>IFERROR(('!!'!$D292)*('!!'!W292/('!!'!$G292)),0)</f>
        <v>0</v>
      </c>
      <c r="GN292" s="438">
        <f>IFERROR(('!!'!$D292)*('!!'!X292/('!!'!$G292)),0)</f>
        <v>0</v>
      </c>
      <c r="GO292" s="438">
        <f>IFERROR(('!!'!$D292)*('!!'!Y292/('!!'!$G292)),0)</f>
        <v>0</v>
      </c>
      <c r="GP292" s="438">
        <f>IFERROR(('!!'!$D292)*('!!'!Z291/('!!'!$G292)),0)</f>
        <v>0</v>
      </c>
      <c r="GQ292" s="438">
        <f>IFERROR(('!!'!$D292)*('!!'!Q292/('!!'!$G292)),0)</f>
        <v>0</v>
      </c>
      <c r="GR292" s="429">
        <v>1</v>
      </c>
      <c r="GS292" s="429">
        <v>2</v>
      </c>
      <c r="GT292" s="432">
        <f>Monitoring!C292</f>
        <v>0</v>
      </c>
      <c r="GU292" s="432">
        <f>Reference!$C292</f>
        <v>0</v>
      </c>
      <c r="GV292" s="429">
        <f>Reference!$D292</f>
        <v>0</v>
      </c>
      <c r="GW292" s="440">
        <f t="shared" si="72"/>
        <v>0</v>
      </c>
      <c r="GX292" s="440">
        <f t="shared" si="72"/>
        <v>0</v>
      </c>
      <c r="GY292" s="440">
        <f t="shared" si="72"/>
        <v>0</v>
      </c>
      <c r="GZ292" s="440">
        <f t="shared" si="72"/>
        <v>0</v>
      </c>
      <c r="HA292" s="440"/>
      <c r="HB292" s="440"/>
      <c r="HC292" s="440"/>
      <c r="HD292" s="440"/>
      <c r="HE292" s="429">
        <f t="shared" si="68"/>
        <v>268</v>
      </c>
      <c r="HF292" s="429">
        <f>SUM(GW292*Baseline!$P$24,GX292*Baseline!$P$25,GY292*Baseline!$P$26,GZ292*Baseline!$P$27,HA292*Baseline!$P$28,HB292*Baseline!$P$29,HC292*Baseline!$P$30,HD292*Baseline!$P$31,Baseline!$P$23)</f>
        <v>626.18362874044828</v>
      </c>
      <c r="HG292" s="455" t="e">
        <f t="shared" si="69"/>
        <v>#DIV/0!</v>
      </c>
      <c r="HH292" s="429" t="e">
        <f>IF(HG292&lt;=Baseline!$J$13,1,0)</f>
        <v>#DIV/0!</v>
      </c>
      <c r="HI292" s="429">
        <f t="shared" si="70"/>
        <v>392105.93690255558</v>
      </c>
      <c r="HJ292" s="429">
        <f t="shared" si="65"/>
        <v>48910903.069173105</v>
      </c>
      <c r="HK292" s="429">
        <f t="shared" si="66"/>
        <v>58061606.033611111</v>
      </c>
      <c r="HL292" s="429" t="str">
        <f>IF(HM292=Reference!$I$12,(HF292-GV292),"")</f>
        <v/>
      </c>
      <c r="HM292" s="429" t="str">
        <f>Reference!I292</f>
        <v/>
      </c>
      <c r="HN292" s="429" t="str">
        <f t="shared" si="71"/>
        <v/>
      </c>
    </row>
    <row r="293" spans="189:222" ht="17.25" customHeight="1" x14ac:dyDescent="0.35">
      <c r="GG293" s="432"/>
      <c r="GJ293" s="429" t="str">
        <f>IF(GK293=$GJ$15,$GJ$15,IF(GJ$24=HF$4,SUM(GK$25:GK293),SUM(GL$25:GL293)))</f>
        <v>N</v>
      </c>
      <c r="GK293" s="438" t="str">
        <f>IFERROR('!!'!G293-'!!'!D293,$GJ$15)</f>
        <v>N</v>
      </c>
      <c r="GL293" s="429" t="str">
        <f t="shared" si="67"/>
        <v>N</v>
      </c>
      <c r="GM293" s="438">
        <f>IFERROR(('!!'!$D293)*('!!'!W293/('!!'!$G293)),0)</f>
        <v>0</v>
      </c>
      <c r="GN293" s="438">
        <f>IFERROR(('!!'!$D293)*('!!'!X293/('!!'!$G293)),0)</f>
        <v>0</v>
      </c>
      <c r="GO293" s="438">
        <f>IFERROR(('!!'!$D293)*('!!'!Y293/('!!'!$G293)),0)</f>
        <v>0</v>
      </c>
      <c r="GP293" s="438">
        <f>IFERROR(('!!'!$D293)*('!!'!Z292/('!!'!$G293)),0)</f>
        <v>0</v>
      </c>
      <c r="GQ293" s="438">
        <f>IFERROR(('!!'!$D293)*('!!'!Q293/('!!'!$G293)),0)</f>
        <v>0</v>
      </c>
      <c r="GR293" s="429">
        <v>1</v>
      </c>
      <c r="GS293" s="429">
        <v>2</v>
      </c>
      <c r="GT293" s="432">
        <f>Monitoring!C293</f>
        <v>0</v>
      </c>
      <c r="GU293" s="432">
        <f>Reference!$C293</f>
        <v>0</v>
      </c>
      <c r="GV293" s="429">
        <f>Reference!$D293</f>
        <v>0</v>
      </c>
      <c r="GW293" s="440">
        <f t="shared" si="72"/>
        <v>0</v>
      </c>
      <c r="GX293" s="440">
        <f t="shared" si="72"/>
        <v>0</v>
      </c>
      <c r="GY293" s="440">
        <f t="shared" si="72"/>
        <v>0</v>
      </c>
      <c r="GZ293" s="440">
        <f t="shared" si="72"/>
        <v>0</v>
      </c>
      <c r="HA293" s="440"/>
      <c r="HB293" s="440"/>
      <c r="HC293" s="440"/>
      <c r="HD293" s="440"/>
      <c r="HE293" s="429">
        <f t="shared" si="68"/>
        <v>269</v>
      </c>
      <c r="HF293" s="429">
        <f>SUM(GW293*Baseline!$P$24,GX293*Baseline!$P$25,GY293*Baseline!$P$26,GZ293*Baseline!$P$27,HA293*Baseline!$P$28,HB293*Baseline!$P$29,HC293*Baseline!$P$30,HD293*Baseline!$P$31,Baseline!$P$23)</f>
        <v>626.18362874044828</v>
      </c>
      <c r="HG293" s="455" t="e">
        <f t="shared" si="69"/>
        <v>#DIV/0!</v>
      </c>
      <c r="HH293" s="429" t="e">
        <f>IF(HG293&lt;=Baseline!$J$13,1,0)</f>
        <v>#DIV/0!</v>
      </c>
      <c r="HI293" s="429">
        <f t="shared" si="70"/>
        <v>392105.93690255558</v>
      </c>
      <c r="HJ293" s="429">
        <f t="shared" si="65"/>
        <v>48910903.069173105</v>
      </c>
      <c r="HK293" s="429">
        <f t="shared" si="66"/>
        <v>58061606.033611111</v>
      </c>
      <c r="HL293" s="429" t="str">
        <f>IF(HM293=Reference!$I$12,(HF293-GV293),"")</f>
        <v/>
      </c>
      <c r="HM293" s="429" t="str">
        <f>Reference!I293</f>
        <v/>
      </c>
      <c r="HN293" s="429" t="str">
        <f t="shared" si="71"/>
        <v/>
      </c>
    </row>
    <row r="294" spans="189:222" ht="17.25" customHeight="1" x14ac:dyDescent="0.35">
      <c r="GG294" s="432"/>
      <c r="GJ294" s="429" t="str">
        <f>IF(GK294=$GJ$15,$GJ$15,IF(GJ$24=HF$4,SUM(GK$25:GK294),SUM(GL$25:GL294)))</f>
        <v>N</v>
      </c>
      <c r="GK294" s="438" t="str">
        <f>IFERROR('!!'!G294-'!!'!D294,$GJ$15)</f>
        <v>N</v>
      </c>
      <c r="GL294" s="429" t="str">
        <f t="shared" si="67"/>
        <v>N</v>
      </c>
      <c r="GM294" s="438">
        <f>IFERROR(('!!'!$D294)*('!!'!W294/('!!'!$G294)),0)</f>
        <v>0</v>
      </c>
      <c r="GN294" s="438">
        <f>IFERROR(('!!'!$D294)*('!!'!X294/('!!'!$G294)),0)</f>
        <v>0</v>
      </c>
      <c r="GO294" s="438">
        <f>IFERROR(('!!'!$D294)*('!!'!Y294/('!!'!$G294)),0)</f>
        <v>0</v>
      </c>
      <c r="GP294" s="438">
        <f>IFERROR(('!!'!$D294)*('!!'!Z293/('!!'!$G294)),0)</f>
        <v>0</v>
      </c>
      <c r="GQ294" s="438">
        <f>IFERROR(('!!'!$D294)*('!!'!Q294/('!!'!$G294)),0)</f>
        <v>0</v>
      </c>
      <c r="GR294" s="429">
        <v>1</v>
      </c>
      <c r="GS294" s="429">
        <v>2</v>
      </c>
      <c r="GT294" s="432">
        <f>Monitoring!C294</f>
        <v>0</v>
      </c>
      <c r="GU294" s="432">
        <f>Reference!$C294</f>
        <v>0</v>
      </c>
      <c r="GV294" s="429">
        <f>Reference!$D294</f>
        <v>0</v>
      </c>
      <c r="GW294" s="440">
        <f t="shared" si="72"/>
        <v>0</v>
      </c>
      <c r="GX294" s="440">
        <f t="shared" si="72"/>
        <v>0</v>
      </c>
      <c r="GY294" s="440">
        <f t="shared" si="72"/>
        <v>0</v>
      </c>
      <c r="GZ294" s="440">
        <f t="shared" si="72"/>
        <v>0</v>
      </c>
      <c r="HA294" s="440"/>
      <c r="HB294" s="440"/>
      <c r="HC294" s="440"/>
      <c r="HD294" s="440"/>
      <c r="HE294" s="429">
        <f t="shared" si="68"/>
        <v>270</v>
      </c>
      <c r="HF294" s="429">
        <f>SUM(GW294*Baseline!$P$24,GX294*Baseline!$P$25,GY294*Baseline!$P$26,GZ294*Baseline!$P$27,HA294*Baseline!$P$28,HB294*Baseline!$P$29,HC294*Baseline!$P$30,HD294*Baseline!$P$31,Baseline!$P$23)</f>
        <v>626.18362874044828</v>
      </c>
      <c r="HG294" s="455" t="e">
        <f t="shared" si="69"/>
        <v>#DIV/0!</v>
      </c>
      <c r="HH294" s="429" t="e">
        <f>IF(HG294&lt;=Baseline!$J$13,1,0)</f>
        <v>#DIV/0!</v>
      </c>
      <c r="HI294" s="429">
        <f t="shared" si="70"/>
        <v>392105.93690255558</v>
      </c>
      <c r="HJ294" s="429">
        <f t="shared" si="65"/>
        <v>48910903.069173105</v>
      </c>
      <c r="HK294" s="429">
        <f t="shared" si="66"/>
        <v>58061606.033611111</v>
      </c>
      <c r="HL294" s="429" t="str">
        <f>IF(HM294=Reference!$I$12,(HF294-GV294),"")</f>
        <v/>
      </c>
      <c r="HM294" s="429" t="str">
        <f>Reference!I294</f>
        <v/>
      </c>
      <c r="HN294" s="429" t="str">
        <f t="shared" si="71"/>
        <v/>
      </c>
    </row>
    <row r="295" spans="189:222" ht="17.25" customHeight="1" x14ac:dyDescent="0.35">
      <c r="GG295" s="432"/>
      <c r="GJ295" s="429" t="str">
        <f>IF(GK295=$GJ$15,$GJ$15,IF(GJ$24=HF$4,SUM(GK$25:GK295),SUM(GL$25:GL295)))</f>
        <v>N</v>
      </c>
      <c r="GK295" s="438" t="str">
        <f>IFERROR('!!'!G295-'!!'!D295,$GJ$15)</f>
        <v>N</v>
      </c>
      <c r="GL295" s="429" t="str">
        <f t="shared" si="67"/>
        <v>N</v>
      </c>
      <c r="GM295" s="438">
        <f>IFERROR(('!!'!$D295)*('!!'!W295/('!!'!$G295)),0)</f>
        <v>0</v>
      </c>
      <c r="GN295" s="438">
        <f>IFERROR(('!!'!$D295)*('!!'!X295/('!!'!$G295)),0)</f>
        <v>0</v>
      </c>
      <c r="GO295" s="438">
        <f>IFERROR(('!!'!$D295)*('!!'!Y295/('!!'!$G295)),0)</f>
        <v>0</v>
      </c>
      <c r="GP295" s="438">
        <f>IFERROR(('!!'!$D295)*('!!'!Z294/('!!'!$G295)),0)</f>
        <v>0</v>
      </c>
      <c r="GQ295" s="438">
        <f>IFERROR(('!!'!$D295)*('!!'!Q295/('!!'!$G295)),0)</f>
        <v>0</v>
      </c>
      <c r="GR295" s="429">
        <v>1</v>
      </c>
      <c r="GS295" s="429">
        <v>2</v>
      </c>
      <c r="GT295" s="432">
        <f>Monitoring!C295</f>
        <v>0</v>
      </c>
      <c r="GU295" s="432">
        <f>Reference!$C295</f>
        <v>0</v>
      </c>
      <c r="GV295" s="429">
        <f>Reference!$D295</f>
        <v>0</v>
      </c>
      <c r="GW295" s="440">
        <f t="shared" ref="GW295:GZ304" si="73">IFERROR(VLOOKUP($GU295,Daten.B,GW$22,FALSE)^GW$23,0)</f>
        <v>0</v>
      </c>
      <c r="GX295" s="440">
        <f t="shared" si="73"/>
        <v>0</v>
      </c>
      <c r="GY295" s="440">
        <f t="shared" si="73"/>
        <v>0</v>
      </c>
      <c r="GZ295" s="440">
        <f t="shared" si="73"/>
        <v>0</v>
      </c>
      <c r="HA295" s="440"/>
      <c r="HB295" s="440"/>
      <c r="HC295" s="440"/>
      <c r="HD295" s="440"/>
      <c r="HE295" s="429">
        <f t="shared" si="68"/>
        <v>271</v>
      </c>
      <c r="HF295" s="429">
        <f>SUM(GW295*Baseline!$P$24,GX295*Baseline!$P$25,GY295*Baseline!$P$26,GZ295*Baseline!$P$27,HA295*Baseline!$P$28,HB295*Baseline!$P$29,HC295*Baseline!$P$30,HD295*Baseline!$P$31,Baseline!$P$23)</f>
        <v>626.18362874044828</v>
      </c>
      <c r="HG295" s="455" t="e">
        <f t="shared" si="69"/>
        <v>#DIV/0!</v>
      </c>
      <c r="HH295" s="429" t="e">
        <f>IF(HG295&lt;=Baseline!$J$13,1,0)</f>
        <v>#DIV/0!</v>
      </c>
      <c r="HI295" s="429">
        <f t="shared" si="70"/>
        <v>392105.93690255558</v>
      </c>
      <c r="HJ295" s="429">
        <f t="shared" si="65"/>
        <v>48910903.069173105</v>
      </c>
      <c r="HK295" s="429">
        <f t="shared" si="66"/>
        <v>58061606.033611111</v>
      </c>
      <c r="HL295" s="429" t="str">
        <f>IF(HM295=Reference!$I$12,(HF295-GV295),"")</f>
        <v/>
      </c>
      <c r="HM295" s="429" t="str">
        <f>Reference!I295</f>
        <v/>
      </c>
      <c r="HN295" s="429" t="str">
        <f t="shared" si="71"/>
        <v/>
      </c>
    </row>
    <row r="296" spans="189:222" ht="17.25" customHeight="1" x14ac:dyDescent="0.35">
      <c r="GG296" s="432"/>
      <c r="GJ296" s="429" t="str">
        <f>IF(GK296=$GJ$15,$GJ$15,IF(GJ$24=HF$4,SUM(GK$25:GK296),SUM(GL$25:GL296)))</f>
        <v>N</v>
      </c>
      <c r="GK296" s="438" t="str">
        <f>IFERROR('!!'!G296-'!!'!D296,$GJ$15)</f>
        <v>N</v>
      </c>
      <c r="GL296" s="429" t="str">
        <f t="shared" si="67"/>
        <v>N</v>
      </c>
      <c r="GM296" s="438">
        <f>IFERROR(('!!'!$D296)*('!!'!W296/('!!'!$G296)),0)</f>
        <v>0</v>
      </c>
      <c r="GN296" s="438">
        <f>IFERROR(('!!'!$D296)*('!!'!X296/('!!'!$G296)),0)</f>
        <v>0</v>
      </c>
      <c r="GO296" s="438">
        <f>IFERROR(('!!'!$D296)*('!!'!Y296/('!!'!$G296)),0)</f>
        <v>0</v>
      </c>
      <c r="GP296" s="438">
        <f>IFERROR(('!!'!$D296)*('!!'!Z295/('!!'!$G296)),0)</f>
        <v>0</v>
      </c>
      <c r="GQ296" s="438">
        <f>IFERROR(('!!'!$D296)*('!!'!Q296/('!!'!$G296)),0)</f>
        <v>0</v>
      </c>
      <c r="GR296" s="429">
        <v>1</v>
      </c>
      <c r="GS296" s="429">
        <v>2</v>
      </c>
      <c r="GT296" s="432">
        <f>Monitoring!C296</f>
        <v>0</v>
      </c>
      <c r="GU296" s="432">
        <f>Reference!$C296</f>
        <v>0</v>
      </c>
      <c r="GV296" s="429">
        <f>Reference!$D296</f>
        <v>0</v>
      </c>
      <c r="GW296" s="440">
        <f t="shared" si="73"/>
        <v>0</v>
      </c>
      <c r="GX296" s="440">
        <f t="shared" si="73"/>
        <v>0</v>
      </c>
      <c r="GY296" s="440">
        <f t="shared" si="73"/>
        <v>0</v>
      </c>
      <c r="GZ296" s="440">
        <f t="shared" si="73"/>
        <v>0</v>
      </c>
      <c r="HA296" s="440"/>
      <c r="HB296" s="440"/>
      <c r="HC296" s="440"/>
      <c r="HD296" s="440"/>
      <c r="HE296" s="429">
        <f t="shared" si="68"/>
        <v>272</v>
      </c>
      <c r="HF296" s="429">
        <f>SUM(GW296*Baseline!$P$24,GX296*Baseline!$P$25,GY296*Baseline!$P$26,GZ296*Baseline!$P$27,HA296*Baseline!$P$28,HB296*Baseline!$P$29,HC296*Baseline!$P$30,HD296*Baseline!$P$31,Baseline!$P$23)</f>
        <v>626.18362874044828</v>
      </c>
      <c r="HG296" s="455" t="e">
        <f t="shared" si="69"/>
        <v>#DIV/0!</v>
      </c>
      <c r="HH296" s="429" t="e">
        <f>IF(HG296&lt;=Baseline!$J$13,1,0)</f>
        <v>#DIV/0!</v>
      </c>
      <c r="HI296" s="429">
        <f t="shared" si="70"/>
        <v>392105.93690255558</v>
      </c>
      <c r="HJ296" s="429">
        <f t="shared" si="65"/>
        <v>48910903.069173105</v>
      </c>
      <c r="HK296" s="429">
        <f t="shared" si="66"/>
        <v>58061606.033611111</v>
      </c>
      <c r="HL296" s="429" t="str">
        <f>IF(HM296=Reference!$I$12,(HF296-GV296),"")</f>
        <v/>
      </c>
      <c r="HM296" s="429" t="str">
        <f>Reference!I296</f>
        <v/>
      </c>
      <c r="HN296" s="429" t="str">
        <f t="shared" si="71"/>
        <v/>
      </c>
    </row>
    <row r="297" spans="189:222" ht="17.25" customHeight="1" x14ac:dyDescent="0.35">
      <c r="GG297" s="432"/>
      <c r="GJ297" s="429" t="str">
        <f>IF(GK297=$GJ$15,$GJ$15,IF(GJ$24=HF$4,SUM(GK$25:GK297),SUM(GL$25:GL297)))</f>
        <v>N</v>
      </c>
      <c r="GK297" s="438" t="str">
        <f>IFERROR('!!'!G297-'!!'!D297,$GJ$15)</f>
        <v>N</v>
      </c>
      <c r="GL297" s="429" t="str">
        <f t="shared" si="67"/>
        <v>N</v>
      </c>
      <c r="GM297" s="438">
        <f>IFERROR(('!!'!$D297)*('!!'!W297/('!!'!$G297)),0)</f>
        <v>0</v>
      </c>
      <c r="GN297" s="438">
        <f>IFERROR(('!!'!$D297)*('!!'!X297/('!!'!$G297)),0)</f>
        <v>0</v>
      </c>
      <c r="GO297" s="438">
        <f>IFERROR(('!!'!$D297)*('!!'!Y297/('!!'!$G297)),0)</f>
        <v>0</v>
      </c>
      <c r="GP297" s="438">
        <f>IFERROR(('!!'!$D297)*('!!'!Z296/('!!'!$G297)),0)</f>
        <v>0</v>
      </c>
      <c r="GQ297" s="438">
        <f>IFERROR(('!!'!$D297)*('!!'!Q297/('!!'!$G297)),0)</f>
        <v>0</v>
      </c>
      <c r="GR297" s="429">
        <v>1</v>
      </c>
      <c r="GS297" s="429">
        <v>2</v>
      </c>
      <c r="GT297" s="432">
        <f>Monitoring!C297</f>
        <v>0</v>
      </c>
      <c r="GU297" s="432">
        <f>Reference!$C297</f>
        <v>0</v>
      </c>
      <c r="GV297" s="429">
        <f>Reference!$D297</f>
        <v>0</v>
      </c>
      <c r="GW297" s="440">
        <f t="shared" si="73"/>
        <v>0</v>
      </c>
      <c r="GX297" s="440">
        <f t="shared" si="73"/>
        <v>0</v>
      </c>
      <c r="GY297" s="440">
        <f t="shared" si="73"/>
        <v>0</v>
      </c>
      <c r="GZ297" s="440">
        <f t="shared" si="73"/>
        <v>0</v>
      </c>
      <c r="HA297" s="440"/>
      <c r="HB297" s="440"/>
      <c r="HC297" s="440"/>
      <c r="HD297" s="440"/>
      <c r="HE297" s="429">
        <f t="shared" si="68"/>
        <v>273</v>
      </c>
      <c r="HF297" s="429">
        <f>SUM(GW297*Baseline!$P$24,GX297*Baseline!$P$25,GY297*Baseline!$P$26,GZ297*Baseline!$P$27,HA297*Baseline!$P$28,HB297*Baseline!$P$29,HC297*Baseline!$P$30,HD297*Baseline!$P$31,Baseline!$P$23)</f>
        <v>626.18362874044828</v>
      </c>
      <c r="HG297" s="455" t="e">
        <f t="shared" si="69"/>
        <v>#DIV/0!</v>
      </c>
      <c r="HH297" s="429" t="e">
        <f>IF(HG297&lt;=Baseline!$J$13,1,0)</f>
        <v>#DIV/0!</v>
      </c>
      <c r="HI297" s="429">
        <f t="shared" si="70"/>
        <v>392105.93690255558</v>
      </c>
      <c r="HJ297" s="429">
        <f t="shared" si="65"/>
        <v>48910903.069173105</v>
      </c>
      <c r="HK297" s="429">
        <f t="shared" si="66"/>
        <v>58061606.033611111</v>
      </c>
      <c r="HL297" s="429" t="str">
        <f>IF(HM297=Reference!$I$12,(HF297-GV297),"")</f>
        <v/>
      </c>
      <c r="HM297" s="429" t="str">
        <f>Reference!I297</f>
        <v/>
      </c>
      <c r="HN297" s="429" t="str">
        <f t="shared" si="71"/>
        <v/>
      </c>
    </row>
    <row r="298" spans="189:222" ht="17.25" customHeight="1" x14ac:dyDescent="0.35">
      <c r="GG298" s="432"/>
      <c r="GJ298" s="429" t="str">
        <f>IF(GK298=$GJ$15,$GJ$15,IF(GJ$24=HF$4,SUM(GK$25:GK298),SUM(GL$25:GL298)))</f>
        <v>N</v>
      </c>
      <c r="GK298" s="438" t="str">
        <f>IFERROR('!!'!G298-'!!'!D298,$GJ$15)</f>
        <v>N</v>
      </c>
      <c r="GL298" s="429" t="str">
        <f t="shared" si="67"/>
        <v>N</v>
      </c>
      <c r="GM298" s="438">
        <f>IFERROR(('!!'!$D298)*('!!'!W298/('!!'!$G298)),0)</f>
        <v>0</v>
      </c>
      <c r="GN298" s="438">
        <f>IFERROR(('!!'!$D298)*('!!'!X298/('!!'!$G298)),0)</f>
        <v>0</v>
      </c>
      <c r="GO298" s="438">
        <f>IFERROR(('!!'!$D298)*('!!'!Y298/('!!'!$G298)),0)</f>
        <v>0</v>
      </c>
      <c r="GP298" s="438">
        <f>IFERROR(('!!'!$D298)*('!!'!Z297/('!!'!$G298)),0)</f>
        <v>0</v>
      </c>
      <c r="GQ298" s="438">
        <f>IFERROR(('!!'!$D298)*('!!'!Q298/('!!'!$G298)),0)</f>
        <v>0</v>
      </c>
      <c r="GR298" s="429">
        <v>1</v>
      </c>
      <c r="GS298" s="429">
        <v>2</v>
      </c>
      <c r="GT298" s="432">
        <f>Monitoring!C298</f>
        <v>0</v>
      </c>
      <c r="GU298" s="432">
        <f>Reference!$C298</f>
        <v>0</v>
      </c>
      <c r="GV298" s="429">
        <f>Reference!$D298</f>
        <v>0</v>
      </c>
      <c r="GW298" s="440">
        <f t="shared" si="73"/>
        <v>0</v>
      </c>
      <c r="GX298" s="440">
        <f t="shared" si="73"/>
        <v>0</v>
      </c>
      <c r="GY298" s="440">
        <f t="shared" si="73"/>
        <v>0</v>
      </c>
      <c r="GZ298" s="440">
        <f t="shared" si="73"/>
        <v>0</v>
      </c>
      <c r="HA298" s="440"/>
      <c r="HB298" s="440"/>
      <c r="HC298" s="440"/>
      <c r="HD298" s="440"/>
      <c r="HE298" s="429">
        <f t="shared" si="68"/>
        <v>274</v>
      </c>
      <c r="HF298" s="429">
        <f>SUM(GW298*Baseline!$P$24,GX298*Baseline!$P$25,GY298*Baseline!$P$26,GZ298*Baseline!$P$27,HA298*Baseline!$P$28,HB298*Baseline!$P$29,HC298*Baseline!$P$30,HD298*Baseline!$P$31,Baseline!$P$23)</f>
        <v>626.18362874044828</v>
      </c>
      <c r="HG298" s="455" t="e">
        <f t="shared" si="69"/>
        <v>#DIV/0!</v>
      </c>
      <c r="HH298" s="429" t="e">
        <f>IF(HG298&lt;=Baseline!$J$13,1,0)</f>
        <v>#DIV/0!</v>
      </c>
      <c r="HI298" s="429">
        <f t="shared" si="70"/>
        <v>392105.93690255558</v>
      </c>
      <c r="HJ298" s="429">
        <f t="shared" si="65"/>
        <v>48910903.069173105</v>
      </c>
      <c r="HK298" s="429">
        <f t="shared" si="66"/>
        <v>58061606.033611111</v>
      </c>
      <c r="HL298" s="429" t="str">
        <f>IF(HM298=Reference!$I$12,(HF298-GV298),"")</f>
        <v/>
      </c>
      <c r="HM298" s="429" t="str">
        <f>Reference!I298</f>
        <v/>
      </c>
      <c r="HN298" s="429" t="str">
        <f t="shared" si="71"/>
        <v/>
      </c>
    </row>
    <row r="299" spans="189:222" ht="17.25" customHeight="1" x14ac:dyDescent="0.35">
      <c r="GG299" s="432"/>
      <c r="GJ299" s="429" t="str">
        <f>IF(GK299=$GJ$15,$GJ$15,IF(GJ$24=HF$4,SUM(GK$25:GK299),SUM(GL$25:GL299)))</f>
        <v>N</v>
      </c>
      <c r="GK299" s="438" t="str">
        <f>IFERROR('!!'!G299-'!!'!D299,$GJ$15)</f>
        <v>N</v>
      </c>
      <c r="GL299" s="429" t="str">
        <f t="shared" si="67"/>
        <v>N</v>
      </c>
      <c r="GM299" s="438">
        <f>IFERROR(('!!'!$D299)*('!!'!W299/('!!'!$G299)),0)</f>
        <v>0</v>
      </c>
      <c r="GN299" s="438">
        <f>IFERROR(('!!'!$D299)*('!!'!X299/('!!'!$G299)),0)</f>
        <v>0</v>
      </c>
      <c r="GO299" s="438">
        <f>IFERROR(('!!'!$D299)*('!!'!Y299/('!!'!$G299)),0)</f>
        <v>0</v>
      </c>
      <c r="GP299" s="438">
        <f>IFERROR(('!!'!$D299)*('!!'!Z298/('!!'!$G299)),0)</f>
        <v>0</v>
      </c>
      <c r="GQ299" s="438">
        <f>IFERROR(('!!'!$D299)*('!!'!Q299/('!!'!$G299)),0)</f>
        <v>0</v>
      </c>
      <c r="GR299" s="429">
        <v>1</v>
      </c>
      <c r="GS299" s="429">
        <v>2</v>
      </c>
      <c r="GT299" s="432">
        <f>Monitoring!C299</f>
        <v>0</v>
      </c>
      <c r="GU299" s="432">
        <f>Reference!$C299</f>
        <v>0</v>
      </c>
      <c r="GV299" s="429">
        <f>Reference!$D299</f>
        <v>0</v>
      </c>
      <c r="GW299" s="440">
        <f t="shared" si="73"/>
        <v>0</v>
      </c>
      <c r="GX299" s="440">
        <f t="shared" si="73"/>
        <v>0</v>
      </c>
      <c r="GY299" s="440">
        <f t="shared" si="73"/>
        <v>0</v>
      </c>
      <c r="GZ299" s="440">
        <f t="shared" si="73"/>
        <v>0</v>
      </c>
      <c r="HA299" s="440"/>
      <c r="HB299" s="440"/>
      <c r="HC299" s="440"/>
      <c r="HD299" s="440"/>
      <c r="HE299" s="429">
        <f t="shared" si="68"/>
        <v>275</v>
      </c>
      <c r="HF299" s="429">
        <f>SUM(GW299*Baseline!$P$24,GX299*Baseline!$P$25,GY299*Baseline!$P$26,GZ299*Baseline!$P$27,HA299*Baseline!$P$28,HB299*Baseline!$P$29,HC299*Baseline!$P$30,HD299*Baseline!$P$31,Baseline!$P$23)</f>
        <v>626.18362874044828</v>
      </c>
      <c r="HG299" s="455" t="e">
        <f t="shared" si="69"/>
        <v>#DIV/0!</v>
      </c>
      <c r="HH299" s="429" t="e">
        <f>IF(HG299&lt;=Baseline!$J$13,1,0)</f>
        <v>#DIV/0!</v>
      </c>
      <c r="HI299" s="429">
        <f t="shared" si="70"/>
        <v>392105.93690255558</v>
      </c>
      <c r="HJ299" s="429">
        <f t="shared" si="65"/>
        <v>48910903.069173105</v>
      </c>
      <c r="HK299" s="429">
        <f t="shared" si="66"/>
        <v>58061606.033611111</v>
      </c>
      <c r="HL299" s="429" t="str">
        <f>IF(HM299=Reference!$I$12,(HF299-GV299),"")</f>
        <v/>
      </c>
      <c r="HM299" s="429" t="str">
        <f>Reference!I299</f>
        <v/>
      </c>
      <c r="HN299" s="429" t="str">
        <f t="shared" si="71"/>
        <v/>
      </c>
    </row>
    <row r="300" spans="189:222" ht="17.25" customHeight="1" x14ac:dyDescent="0.35">
      <c r="GG300" s="432"/>
      <c r="GJ300" s="429" t="str">
        <f>IF(GK300=$GJ$15,$GJ$15,IF(GJ$24=HF$4,SUM(GK$25:GK300),SUM(GL$25:GL300)))</f>
        <v>N</v>
      </c>
      <c r="GK300" s="438" t="str">
        <f>IFERROR('!!'!G300-'!!'!D300,$GJ$15)</f>
        <v>N</v>
      </c>
      <c r="GL300" s="429" t="str">
        <f t="shared" si="67"/>
        <v>N</v>
      </c>
      <c r="GM300" s="438">
        <f>IFERROR(('!!'!$D300)*('!!'!W300/('!!'!$G300)),0)</f>
        <v>0</v>
      </c>
      <c r="GN300" s="438">
        <f>IFERROR(('!!'!$D300)*('!!'!X300/('!!'!$G300)),0)</f>
        <v>0</v>
      </c>
      <c r="GO300" s="438">
        <f>IFERROR(('!!'!$D300)*('!!'!Y300/('!!'!$G300)),0)</f>
        <v>0</v>
      </c>
      <c r="GP300" s="438">
        <f>IFERROR(('!!'!$D300)*('!!'!Z299/('!!'!$G300)),0)</f>
        <v>0</v>
      </c>
      <c r="GQ300" s="438">
        <f>IFERROR(('!!'!$D300)*('!!'!Q300/('!!'!$G300)),0)</f>
        <v>0</v>
      </c>
      <c r="GR300" s="429">
        <v>1</v>
      </c>
      <c r="GS300" s="429">
        <v>2</v>
      </c>
      <c r="GT300" s="432">
        <f>Monitoring!C300</f>
        <v>0</v>
      </c>
      <c r="GU300" s="432">
        <f>Reference!$C300</f>
        <v>0</v>
      </c>
      <c r="GV300" s="429">
        <f>Reference!$D300</f>
        <v>0</v>
      </c>
      <c r="GW300" s="440">
        <f t="shared" si="73"/>
        <v>0</v>
      </c>
      <c r="GX300" s="440">
        <f t="shared" si="73"/>
        <v>0</v>
      </c>
      <c r="GY300" s="440">
        <f t="shared" si="73"/>
        <v>0</v>
      </c>
      <c r="GZ300" s="440">
        <f t="shared" si="73"/>
        <v>0</v>
      </c>
      <c r="HA300" s="440"/>
      <c r="HB300" s="440"/>
      <c r="HC300" s="440"/>
      <c r="HD300" s="440"/>
      <c r="HE300" s="429">
        <f t="shared" si="68"/>
        <v>276</v>
      </c>
      <c r="HF300" s="429">
        <f>SUM(GW300*Baseline!$P$24,GX300*Baseline!$P$25,GY300*Baseline!$P$26,GZ300*Baseline!$P$27,HA300*Baseline!$P$28,HB300*Baseline!$P$29,HC300*Baseline!$P$30,HD300*Baseline!$P$31,Baseline!$P$23)</f>
        <v>626.18362874044828</v>
      </c>
      <c r="HG300" s="455" t="e">
        <f t="shared" si="69"/>
        <v>#DIV/0!</v>
      </c>
      <c r="HH300" s="429" t="e">
        <f>IF(HG300&lt;=Baseline!$J$13,1,0)</f>
        <v>#DIV/0!</v>
      </c>
      <c r="HI300" s="429">
        <f t="shared" si="70"/>
        <v>392105.93690255558</v>
      </c>
      <c r="HJ300" s="429">
        <f t="shared" si="65"/>
        <v>48910903.069173105</v>
      </c>
      <c r="HK300" s="429">
        <f t="shared" si="66"/>
        <v>58061606.033611111</v>
      </c>
      <c r="HL300" s="429" t="str">
        <f>IF(HM300=Reference!$I$12,(HF300-GV300),"")</f>
        <v/>
      </c>
      <c r="HM300" s="429" t="str">
        <f>Reference!I300</f>
        <v/>
      </c>
      <c r="HN300" s="429" t="str">
        <f t="shared" si="71"/>
        <v/>
      </c>
    </row>
    <row r="301" spans="189:222" ht="17.25" customHeight="1" x14ac:dyDescent="0.35">
      <c r="GG301" s="432"/>
      <c r="GJ301" s="429" t="str">
        <f>IF(GK301=$GJ$15,$GJ$15,IF(GJ$24=HF$4,SUM(GK$25:GK301),SUM(GL$25:GL301)))</f>
        <v>N</v>
      </c>
      <c r="GK301" s="438" t="str">
        <f>IFERROR('!!'!G301-'!!'!D301,$GJ$15)</f>
        <v>N</v>
      </c>
      <c r="GL301" s="429" t="str">
        <f t="shared" si="67"/>
        <v>N</v>
      </c>
      <c r="GM301" s="438">
        <f>IFERROR(('!!'!$D301)*('!!'!W301/('!!'!$G301)),0)</f>
        <v>0</v>
      </c>
      <c r="GN301" s="438">
        <f>IFERROR(('!!'!$D301)*('!!'!X301/('!!'!$G301)),0)</f>
        <v>0</v>
      </c>
      <c r="GO301" s="438">
        <f>IFERROR(('!!'!$D301)*('!!'!Y301/('!!'!$G301)),0)</f>
        <v>0</v>
      </c>
      <c r="GP301" s="438">
        <f>IFERROR(('!!'!$D301)*('!!'!Z300/('!!'!$G301)),0)</f>
        <v>0</v>
      </c>
      <c r="GQ301" s="438">
        <f>IFERROR(('!!'!$D301)*('!!'!Q301/('!!'!$G301)),0)</f>
        <v>0</v>
      </c>
      <c r="GR301" s="429">
        <v>1</v>
      </c>
      <c r="GS301" s="429">
        <v>2</v>
      </c>
      <c r="GT301" s="432">
        <f>Monitoring!C301</f>
        <v>0</v>
      </c>
      <c r="GU301" s="432">
        <f>Reference!$C301</f>
        <v>0</v>
      </c>
      <c r="GV301" s="429">
        <f>Reference!$D301</f>
        <v>0</v>
      </c>
      <c r="GW301" s="440">
        <f t="shared" si="73"/>
        <v>0</v>
      </c>
      <c r="GX301" s="440">
        <f t="shared" si="73"/>
        <v>0</v>
      </c>
      <c r="GY301" s="440">
        <f t="shared" si="73"/>
        <v>0</v>
      </c>
      <c r="GZ301" s="440">
        <f t="shared" si="73"/>
        <v>0</v>
      </c>
      <c r="HA301" s="440"/>
      <c r="HB301" s="440"/>
      <c r="HC301" s="440"/>
      <c r="HD301" s="440"/>
      <c r="HE301" s="429">
        <f t="shared" si="68"/>
        <v>277</v>
      </c>
      <c r="HF301" s="429">
        <f>SUM(GW301*Baseline!$P$24,GX301*Baseline!$P$25,GY301*Baseline!$P$26,GZ301*Baseline!$P$27,HA301*Baseline!$P$28,HB301*Baseline!$P$29,HC301*Baseline!$P$30,HD301*Baseline!$P$31,Baseline!$P$23)</f>
        <v>626.18362874044828</v>
      </c>
      <c r="HG301" s="455" t="e">
        <f t="shared" si="69"/>
        <v>#DIV/0!</v>
      </c>
      <c r="HH301" s="429" t="e">
        <f>IF(HG301&lt;=Baseline!$J$13,1,0)</f>
        <v>#DIV/0!</v>
      </c>
      <c r="HI301" s="429">
        <f t="shared" si="70"/>
        <v>392105.93690255558</v>
      </c>
      <c r="HJ301" s="429">
        <f t="shared" si="65"/>
        <v>48910903.069173105</v>
      </c>
      <c r="HK301" s="429">
        <f t="shared" si="66"/>
        <v>58061606.033611111</v>
      </c>
      <c r="HL301" s="429" t="str">
        <f>IF(HM301=Reference!$I$12,(HF301-GV301),"")</f>
        <v/>
      </c>
      <c r="HM301" s="429" t="str">
        <f>Reference!I301</f>
        <v/>
      </c>
      <c r="HN301" s="429" t="str">
        <f t="shared" si="71"/>
        <v/>
      </c>
    </row>
    <row r="302" spans="189:222" ht="17.25" customHeight="1" x14ac:dyDescent="0.35">
      <c r="GG302" s="432"/>
      <c r="GJ302" s="429" t="str">
        <f>IF(GK302=$GJ$15,$GJ$15,IF(GJ$24=HF$4,SUM(GK$25:GK302),SUM(GL$25:GL302)))</f>
        <v>N</v>
      </c>
      <c r="GK302" s="438" t="str">
        <f>IFERROR('!!'!G302-'!!'!D302,$GJ$15)</f>
        <v>N</v>
      </c>
      <c r="GL302" s="429" t="str">
        <f t="shared" si="67"/>
        <v>N</v>
      </c>
      <c r="GM302" s="438">
        <f>IFERROR(('!!'!$D302)*('!!'!W302/('!!'!$G302)),0)</f>
        <v>0</v>
      </c>
      <c r="GN302" s="438">
        <f>IFERROR(('!!'!$D302)*('!!'!X302/('!!'!$G302)),0)</f>
        <v>0</v>
      </c>
      <c r="GO302" s="438">
        <f>IFERROR(('!!'!$D302)*('!!'!Y302/('!!'!$G302)),0)</f>
        <v>0</v>
      </c>
      <c r="GP302" s="438">
        <f>IFERROR(('!!'!$D302)*('!!'!Z301/('!!'!$G302)),0)</f>
        <v>0</v>
      </c>
      <c r="GQ302" s="438">
        <f>IFERROR(('!!'!$D302)*('!!'!Q302/('!!'!$G302)),0)</f>
        <v>0</v>
      </c>
      <c r="GR302" s="429">
        <v>1</v>
      </c>
      <c r="GS302" s="429">
        <v>2</v>
      </c>
      <c r="GT302" s="432">
        <f>Monitoring!C302</f>
        <v>0</v>
      </c>
      <c r="GU302" s="432">
        <f>Reference!$C302</f>
        <v>0</v>
      </c>
      <c r="GV302" s="429">
        <f>Reference!$D302</f>
        <v>0</v>
      </c>
      <c r="GW302" s="440">
        <f t="shared" si="73"/>
        <v>0</v>
      </c>
      <c r="GX302" s="440">
        <f t="shared" si="73"/>
        <v>0</v>
      </c>
      <c r="GY302" s="440">
        <f t="shared" si="73"/>
        <v>0</v>
      </c>
      <c r="GZ302" s="440">
        <f t="shared" si="73"/>
        <v>0</v>
      </c>
      <c r="HA302" s="440"/>
      <c r="HB302" s="440"/>
      <c r="HC302" s="440"/>
      <c r="HD302" s="440"/>
      <c r="HE302" s="429">
        <f t="shared" si="68"/>
        <v>278</v>
      </c>
      <c r="HF302" s="429">
        <f>SUM(GW302*Baseline!$P$24,GX302*Baseline!$P$25,GY302*Baseline!$P$26,GZ302*Baseline!$P$27,HA302*Baseline!$P$28,HB302*Baseline!$P$29,HC302*Baseline!$P$30,HD302*Baseline!$P$31,Baseline!$P$23)</f>
        <v>626.18362874044828</v>
      </c>
      <c r="HG302" s="455" t="e">
        <f t="shared" si="69"/>
        <v>#DIV/0!</v>
      </c>
      <c r="HH302" s="429" t="e">
        <f>IF(HG302&lt;=Baseline!$J$13,1,0)</f>
        <v>#DIV/0!</v>
      </c>
      <c r="HI302" s="429">
        <f t="shared" si="70"/>
        <v>392105.93690255558</v>
      </c>
      <c r="HJ302" s="429">
        <f t="shared" si="65"/>
        <v>48910903.069173105</v>
      </c>
      <c r="HK302" s="429">
        <f t="shared" si="66"/>
        <v>58061606.033611111</v>
      </c>
      <c r="HL302" s="429" t="str">
        <f>IF(HM302=Reference!$I$12,(HF302-GV302),"")</f>
        <v/>
      </c>
      <c r="HM302" s="429" t="str">
        <f>Reference!I302</f>
        <v/>
      </c>
      <c r="HN302" s="429" t="str">
        <f t="shared" si="71"/>
        <v/>
      </c>
    </row>
    <row r="303" spans="189:222" ht="17.25" customHeight="1" x14ac:dyDescent="0.35">
      <c r="GG303" s="432"/>
      <c r="GJ303" s="429" t="str">
        <f>IF(GK303=$GJ$15,$GJ$15,IF(GJ$24=HF$4,SUM(GK$25:GK303),SUM(GL$25:GL303)))</f>
        <v>N</v>
      </c>
      <c r="GK303" s="438" t="str">
        <f>IFERROR('!!'!G303-'!!'!D303,$GJ$15)</f>
        <v>N</v>
      </c>
      <c r="GL303" s="429" t="str">
        <f t="shared" si="67"/>
        <v>N</v>
      </c>
      <c r="GM303" s="438">
        <f>IFERROR(('!!'!$D303)*('!!'!W303/('!!'!$G303)),0)</f>
        <v>0</v>
      </c>
      <c r="GN303" s="438">
        <f>IFERROR(('!!'!$D303)*('!!'!X303/('!!'!$G303)),0)</f>
        <v>0</v>
      </c>
      <c r="GO303" s="438">
        <f>IFERROR(('!!'!$D303)*('!!'!Y303/('!!'!$G303)),0)</f>
        <v>0</v>
      </c>
      <c r="GP303" s="438">
        <f>IFERROR(('!!'!$D303)*('!!'!Z302/('!!'!$G303)),0)</f>
        <v>0</v>
      </c>
      <c r="GQ303" s="438">
        <f>IFERROR(('!!'!$D303)*('!!'!Q303/('!!'!$G303)),0)</f>
        <v>0</v>
      </c>
      <c r="GR303" s="429">
        <v>1</v>
      </c>
      <c r="GS303" s="429">
        <v>2</v>
      </c>
      <c r="GT303" s="432">
        <f>Monitoring!C303</f>
        <v>0</v>
      </c>
      <c r="GU303" s="432">
        <f>Reference!$C303</f>
        <v>0</v>
      </c>
      <c r="GV303" s="429">
        <f>Reference!$D303</f>
        <v>0</v>
      </c>
      <c r="GW303" s="440">
        <f t="shared" si="73"/>
        <v>0</v>
      </c>
      <c r="GX303" s="440">
        <f t="shared" si="73"/>
        <v>0</v>
      </c>
      <c r="GY303" s="440">
        <f t="shared" si="73"/>
        <v>0</v>
      </c>
      <c r="GZ303" s="440">
        <f t="shared" si="73"/>
        <v>0</v>
      </c>
      <c r="HA303" s="440"/>
      <c r="HB303" s="440"/>
      <c r="HC303" s="440"/>
      <c r="HD303" s="440"/>
      <c r="HE303" s="429">
        <f t="shared" si="68"/>
        <v>279</v>
      </c>
      <c r="HF303" s="429">
        <f>SUM(GW303*Baseline!$P$24,GX303*Baseline!$P$25,GY303*Baseline!$P$26,GZ303*Baseline!$P$27,HA303*Baseline!$P$28,HB303*Baseline!$P$29,HC303*Baseline!$P$30,HD303*Baseline!$P$31,Baseline!$P$23)</f>
        <v>626.18362874044828</v>
      </c>
      <c r="HG303" s="455" t="e">
        <f t="shared" si="69"/>
        <v>#DIV/0!</v>
      </c>
      <c r="HH303" s="429" t="e">
        <f>IF(HG303&lt;=Baseline!$J$13,1,0)</f>
        <v>#DIV/0!</v>
      </c>
      <c r="HI303" s="429">
        <f t="shared" si="70"/>
        <v>392105.93690255558</v>
      </c>
      <c r="HJ303" s="429">
        <f t="shared" si="65"/>
        <v>48910903.069173105</v>
      </c>
      <c r="HK303" s="429">
        <f t="shared" si="66"/>
        <v>58061606.033611111</v>
      </c>
      <c r="HL303" s="429" t="str">
        <f>IF(HM303=Reference!$I$12,(HF303-GV303),"")</f>
        <v/>
      </c>
      <c r="HM303" s="429" t="str">
        <f>Reference!I303</f>
        <v/>
      </c>
      <c r="HN303" s="429" t="str">
        <f t="shared" si="71"/>
        <v/>
      </c>
    </row>
    <row r="304" spans="189:222" ht="17.25" customHeight="1" x14ac:dyDescent="0.35">
      <c r="GG304" s="432"/>
      <c r="GJ304" s="429" t="str">
        <f>IF(GK304=$GJ$15,$GJ$15,IF(GJ$24=HF$4,SUM(GK$25:GK304),SUM(GL$25:GL304)))</f>
        <v>N</v>
      </c>
      <c r="GK304" s="438" t="str">
        <f>IFERROR('!!'!G304-'!!'!D304,$GJ$15)</f>
        <v>N</v>
      </c>
      <c r="GL304" s="429" t="str">
        <f t="shared" si="67"/>
        <v>N</v>
      </c>
      <c r="GM304" s="438">
        <f>IFERROR(('!!'!$D304)*('!!'!W304/('!!'!$G304)),0)</f>
        <v>0</v>
      </c>
      <c r="GN304" s="438">
        <f>IFERROR(('!!'!$D304)*('!!'!X304/('!!'!$G304)),0)</f>
        <v>0</v>
      </c>
      <c r="GO304" s="438">
        <f>IFERROR(('!!'!$D304)*('!!'!Y304/('!!'!$G304)),0)</f>
        <v>0</v>
      </c>
      <c r="GP304" s="438">
        <f>IFERROR(('!!'!$D304)*('!!'!Z303/('!!'!$G304)),0)</f>
        <v>0</v>
      </c>
      <c r="GQ304" s="438">
        <f>IFERROR(('!!'!$D304)*('!!'!Q304/('!!'!$G304)),0)</f>
        <v>0</v>
      </c>
      <c r="GR304" s="429">
        <v>1</v>
      </c>
      <c r="GS304" s="429">
        <v>2</v>
      </c>
      <c r="GT304" s="432">
        <f>Monitoring!C304</f>
        <v>0</v>
      </c>
      <c r="GU304" s="432">
        <f>Reference!$C304</f>
        <v>0</v>
      </c>
      <c r="GV304" s="429">
        <f>Reference!$D304</f>
        <v>0</v>
      </c>
      <c r="GW304" s="440">
        <f t="shared" si="73"/>
        <v>0</v>
      </c>
      <c r="GX304" s="440">
        <f t="shared" si="73"/>
        <v>0</v>
      </c>
      <c r="GY304" s="440">
        <f t="shared" si="73"/>
        <v>0</v>
      </c>
      <c r="GZ304" s="440">
        <f t="shared" si="73"/>
        <v>0</v>
      </c>
      <c r="HA304" s="440"/>
      <c r="HB304" s="440"/>
      <c r="HC304" s="440"/>
      <c r="HD304" s="440"/>
      <c r="HE304" s="429">
        <f t="shared" si="68"/>
        <v>280</v>
      </c>
      <c r="HF304" s="429">
        <f>SUM(GW304*Baseline!$P$24,GX304*Baseline!$P$25,GY304*Baseline!$P$26,GZ304*Baseline!$P$27,HA304*Baseline!$P$28,HB304*Baseline!$P$29,HC304*Baseline!$P$30,HD304*Baseline!$P$31,Baseline!$P$23)</f>
        <v>626.18362874044828</v>
      </c>
      <c r="HG304" s="455" t="e">
        <f t="shared" si="69"/>
        <v>#DIV/0!</v>
      </c>
      <c r="HH304" s="429" t="e">
        <f>IF(HG304&lt;=Baseline!$J$13,1,0)</f>
        <v>#DIV/0!</v>
      </c>
      <c r="HI304" s="429">
        <f t="shared" si="70"/>
        <v>392105.93690255558</v>
      </c>
      <c r="HJ304" s="429">
        <f t="shared" si="65"/>
        <v>48910903.069173105</v>
      </c>
      <c r="HK304" s="429">
        <f t="shared" si="66"/>
        <v>58061606.033611111</v>
      </c>
      <c r="HL304" s="429" t="str">
        <f>IF(HM304=Reference!$I$12,(HF304-GV304),"")</f>
        <v/>
      </c>
      <c r="HM304" s="429" t="str">
        <f>Reference!I304</f>
        <v/>
      </c>
      <c r="HN304" s="429" t="str">
        <f t="shared" si="71"/>
        <v/>
      </c>
    </row>
    <row r="305" spans="189:222" ht="17.25" customHeight="1" x14ac:dyDescent="0.35">
      <c r="GG305" s="432"/>
      <c r="GJ305" s="429" t="str">
        <f>IF(GK305=$GJ$15,$GJ$15,IF(GJ$24=HF$4,SUM(GK$25:GK305),SUM(GL$25:GL305)))</f>
        <v>N</v>
      </c>
      <c r="GK305" s="438" t="str">
        <f>IFERROR('!!'!G305-'!!'!D305,$GJ$15)</f>
        <v>N</v>
      </c>
      <c r="GL305" s="429" t="str">
        <f t="shared" si="67"/>
        <v>N</v>
      </c>
      <c r="GM305" s="438">
        <f>IFERROR(('!!'!$D305)*('!!'!W305/('!!'!$G305)),0)</f>
        <v>0</v>
      </c>
      <c r="GN305" s="438">
        <f>IFERROR(('!!'!$D305)*('!!'!X305/('!!'!$G305)),0)</f>
        <v>0</v>
      </c>
      <c r="GO305" s="438">
        <f>IFERROR(('!!'!$D305)*('!!'!Y305/('!!'!$G305)),0)</f>
        <v>0</v>
      </c>
      <c r="GP305" s="438">
        <f>IFERROR(('!!'!$D305)*('!!'!Z304/('!!'!$G305)),0)</f>
        <v>0</v>
      </c>
      <c r="GQ305" s="438">
        <f>IFERROR(('!!'!$D305)*('!!'!Q305/('!!'!$G305)),0)</f>
        <v>0</v>
      </c>
      <c r="GR305" s="429">
        <v>1</v>
      </c>
      <c r="GS305" s="429">
        <v>2</v>
      </c>
      <c r="GT305" s="432">
        <f>Monitoring!C305</f>
        <v>0</v>
      </c>
      <c r="GU305" s="432">
        <f>Reference!$C305</f>
        <v>0</v>
      </c>
      <c r="GV305" s="429">
        <f>Reference!$D305</f>
        <v>0</v>
      </c>
      <c r="GW305" s="440">
        <f t="shared" ref="GW305:GZ314" si="74">IFERROR(VLOOKUP($GU305,Daten.B,GW$22,FALSE)^GW$23,0)</f>
        <v>0</v>
      </c>
      <c r="GX305" s="440">
        <f t="shared" si="74"/>
        <v>0</v>
      </c>
      <c r="GY305" s="440">
        <f t="shared" si="74"/>
        <v>0</v>
      </c>
      <c r="GZ305" s="440">
        <f t="shared" si="74"/>
        <v>0</v>
      </c>
      <c r="HA305" s="440"/>
      <c r="HB305" s="440"/>
      <c r="HC305" s="440"/>
      <c r="HD305" s="440"/>
      <c r="HE305" s="429">
        <f t="shared" si="68"/>
        <v>281</v>
      </c>
      <c r="HF305" s="429">
        <f>SUM(GW305*Baseline!$P$24,GX305*Baseline!$P$25,GY305*Baseline!$P$26,GZ305*Baseline!$P$27,HA305*Baseline!$P$28,HB305*Baseline!$P$29,HC305*Baseline!$P$30,HD305*Baseline!$P$31,Baseline!$P$23)</f>
        <v>626.18362874044828</v>
      </c>
      <c r="HG305" s="455" t="e">
        <f t="shared" si="69"/>
        <v>#DIV/0!</v>
      </c>
      <c r="HH305" s="429" t="e">
        <f>IF(HG305&lt;=Baseline!$J$13,1,0)</f>
        <v>#DIV/0!</v>
      </c>
      <c r="HI305" s="429">
        <f t="shared" si="70"/>
        <v>392105.93690255558</v>
      </c>
      <c r="HJ305" s="429">
        <f t="shared" si="65"/>
        <v>48910903.069173105</v>
      </c>
      <c r="HK305" s="429">
        <f t="shared" si="66"/>
        <v>58061606.033611111</v>
      </c>
      <c r="HL305" s="429" t="str">
        <f>IF(HM305=Reference!$I$12,(HF305-GV305),"")</f>
        <v/>
      </c>
      <c r="HM305" s="429" t="str">
        <f>Reference!I305</f>
        <v/>
      </c>
      <c r="HN305" s="429" t="str">
        <f t="shared" si="71"/>
        <v/>
      </c>
    </row>
    <row r="306" spans="189:222" ht="17.25" customHeight="1" x14ac:dyDescent="0.35">
      <c r="GG306" s="432"/>
      <c r="GJ306" s="429" t="str">
        <f>IF(GK306=$GJ$15,$GJ$15,IF(GJ$24=HF$4,SUM(GK$25:GK306),SUM(GL$25:GL306)))</f>
        <v>N</v>
      </c>
      <c r="GK306" s="438" t="str">
        <f>IFERROR('!!'!G306-'!!'!D306,$GJ$15)</f>
        <v>N</v>
      </c>
      <c r="GL306" s="429" t="str">
        <f t="shared" si="67"/>
        <v>N</v>
      </c>
      <c r="GM306" s="438">
        <f>IFERROR(('!!'!$D306)*('!!'!W306/('!!'!$G306)),0)</f>
        <v>0</v>
      </c>
      <c r="GN306" s="438">
        <f>IFERROR(('!!'!$D306)*('!!'!X306/('!!'!$G306)),0)</f>
        <v>0</v>
      </c>
      <c r="GO306" s="438">
        <f>IFERROR(('!!'!$D306)*('!!'!Y306/('!!'!$G306)),0)</f>
        <v>0</v>
      </c>
      <c r="GP306" s="438">
        <f>IFERROR(('!!'!$D306)*('!!'!Z305/('!!'!$G306)),0)</f>
        <v>0</v>
      </c>
      <c r="GQ306" s="438">
        <f>IFERROR(('!!'!$D306)*('!!'!Q306/('!!'!$G306)),0)</f>
        <v>0</v>
      </c>
      <c r="GR306" s="429">
        <v>1</v>
      </c>
      <c r="GS306" s="429">
        <v>2</v>
      </c>
      <c r="GT306" s="432">
        <f>Monitoring!C306</f>
        <v>0</v>
      </c>
      <c r="GU306" s="432">
        <f>Reference!$C306</f>
        <v>0</v>
      </c>
      <c r="GV306" s="429">
        <f>Reference!$D306</f>
        <v>0</v>
      </c>
      <c r="GW306" s="440">
        <f t="shared" si="74"/>
        <v>0</v>
      </c>
      <c r="GX306" s="440">
        <f t="shared" si="74"/>
        <v>0</v>
      </c>
      <c r="GY306" s="440">
        <f t="shared" si="74"/>
        <v>0</v>
      </c>
      <c r="GZ306" s="440">
        <f t="shared" si="74"/>
        <v>0</v>
      </c>
      <c r="HA306" s="440"/>
      <c r="HB306" s="440"/>
      <c r="HC306" s="440"/>
      <c r="HD306" s="440"/>
      <c r="HE306" s="429">
        <f t="shared" si="68"/>
        <v>282</v>
      </c>
      <c r="HF306" s="429">
        <f>SUM(GW306*Baseline!$P$24,GX306*Baseline!$P$25,GY306*Baseline!$P$26,GZ306*Baseline!$P$27,HA306*Baseline!$P$28,HB306*Baseline!$P$29,HC306*Baseline!$P$30,HD306*Baseline!$P$31,Baseline!$P$23)</f>
        <v>626.18362874044828</v>
      </c>
      <c r="HG306" s="455" t="e">
        <f t="shared" si="69"/>
        <v>#DIV/0!</v>
      </c>
      <c r="HH306" s="429" t="e">
        <f>IF(HG306&lt;=Baseline!$J$13,1,0)</f>
        <v>#DIV/0!</v>
      </c>
      <c r="HI306" s="429">
        <f t="shared" si="70"/>
        <v>392105.93690255558</v>
      </c>
      <c r="HJ306" s="429">
        <f t="shared" si="65"/>
        <v>48910903.069173105</v>
      </c>
      <c r="HK306" s="429">
        <f t="shared" si="66"/>
        <v>58061606.033611111</v>
      </c>
      <c r="HL306" s="429" t="str">
        <f>IF(HM306=Reference!$I$12,(HF306-GV306),"")</f>
        <v/>
      </c>
      <c r="HM306" s="429" t="str">
        <f>Reference!I306</f>
        <v/>
      </c>
      <c r="HN306" s="429" t="str">
        <f t="shared" si="71"/>
        <v/>
      </c>
    </row>
    <row r="307" spans="189:222" ht="17.25" customHeight="1" x14ac:dyDescent="0.35">
      <c r="GG307" s="432"/>
      <c r="GJ307" s="429" t="str">
        <f>IF(GK307=$GJ$15,$GJ$15,IF(GJ$24=HF$4,SUM(GK$25:GK307),SUM(GL$25:GL307)))</f>
        <v>N</v>
      </c>
      <c r="GK307" s="438" t="str">
        <f>IFERROR('!!'!G307-'!!'!D307,$GJ$15)</f>
        <v>N</v>
      </c>
      <c r="GL307" s="429" t="str">
        <f t="shared" si="67"/>
        <v>N</v>
      </c>
      <c r="GM307" s="438">
        <f>IFERROR(('!!'!$D307)*('!!'!W307/('!!'!$G307)),0)</f>
        <v>0</v>
      </c>
      <c r="GN307" s="438">
        <f>IFERROR(('!!'!$D307)*('!!'!X307/('!!'!$G307)),0)</f>
        <v>0</v>
      </c>
      <c r="GO307" s="438">
        <f>IFERROR(('!!'!$D307)*('!!'!Y307/('!!'!$G307)),0)</f>
        <v>0</v>
      </c>
      <c r="GP307" s="438">
        <f>IFERROR(('!!'!$D307)*('!!'!Z306/('!!'!$G307)),0)</f>
        <v>0</v>
      </c>
      <c r="GQ307" s="438">
        <f>IFERROR(('!!'!$D307)*('!!'!Q307/('!!'!$G307)),0)</f>
        <v>0</v>
      </c>
      <c r="GR307" s="429">
        <v>1</v>
      </c>
      <c r="GS307" s="429">
        <v>2</v>
      </c>
      <c r="GT307" s="432">
        <f>Monitoring!C307</f>
        <v>0</v>
      </c>
      <c r="GU307" s="432">
        <f>Reference!$C307</f>
        <v>0</v>
      </c>
      <c r="GV307" s="429">
        <f>Reference!$D307</f>
        <v>0</v>
      </c>
      <c r="GW307" s="440">
        <f t="shared" si="74"/>
        <v>0</v>
      </c>
      <c r="GX307" s="440">
        <f t="shared" si="74"/>
        <v>0</v>
      </c>
      <c r="GY307" s="440">
        <f t="shared" si="74"/>
        <v>0</v>
      </c>
      <c r="GZ307" s="440">
        <f t="shared" si="74"/>
        <v>0</v>
      </c>
      <c r="HA307" s="440"/>
      <c r="HB307" s="440"/>
      <c r="HC307" s="440"/>
      <c r="HD307" s="440"/>
      <c r="HE307" s="429">
        <f t="shared" si="68"/>
        <v>283</v>
      </c>
      <c r="HF307" s="429">
        <f>SUM(GW307*Baseline!$P$24,GX307*Baseline!$P$25,GY307*Baseline!$P$26,GZ307*Baseline!$P$27,HA307*Baseline!$P$28,HB307*Baseline!$P$29,HC307*Baseline!$P$30,HD307*Baseline!$P$31,Baseline!$P$23)</f>
        <v>626.18362874044828</v>
      </c>
      <c r="HG307" s="455" t="e">
        <f t="shared" si="69"/>
        <v>#DIV/0!</v>
      </c>
      <c r="HH307" s="429" t="e">
        <f>IF(HG307&lt;=Baseline!$J$13,1,0)</f>
        <v>#DIV/0!</v>
      </c>
      <c r="HI307" s="429">
        <f t="shared" si="70"/>
        <v>392105.93690255558</v>
      </c>
      <c r="HJ307" s="429">
        <f t="shared" si="65"/>
        <v>48910903.069173105</v>
      </c>
      <c r="HK307" s="429">
        <f t="shared" si="66"/>
        <v>58061606.033611111</v>
      </c>
      <c r="HL307" s="429" t="str">
        <f>IF(HM307=Reference!$I$12,(HF307-GV307),"")</f>
        <v/>
      </c>
      <c r="HM307" s="429" t="str">
        <f>Reference!I307</f>
        <v/>
      </c>
      <c r="HN307" s="429" t="str">
        <f t="shared" si="71"/>
        <v/>
      </c>
    </row>
    <row r="308" spans="189:222" ht="17.25" customHeight="1" x14ac:dyDescent="0.35">
      <c r="GG308" s="432"/>
      <c r="GJ308" s="429" t="str">
        <f>IF(GK308=$GJ$15,$GJ$15,IF(GJ$24=HF$4,SUM(GK$25:GK308),SUM(GL$25:GL308)))</f>
        <v>N</v>
      </c>
      <c r="GK308" s="438" t="str">
        <f>IFERROR('!!'!G308-'!!'!D308,$GJ$15)</f>
        <v>N</v>
      </c>
      <c r="GL308" s="429" t="str">
        <f t="shared" si="67"/>
        <v>N</v>
      </c>
      <c r="GM308" s="438">
        <f>IFERROR(('!!'!$D308)*('!!'!W308/('!!'!$G308)),0)</f>
        <v>0</v>
      </c>
      <c r="GN308" s="438">
        <f>IFERROR(('!!'!$D308)*('!!'!X308/('!!'!$G308)),0)</f>
        <v>0</v>
      </c>
      <c r="GO308" s="438">
        <f>IFERROR(('!!'!$D308)*('!!'!Y308/('!!'!$G308)),0)</f>
        <v>0</v>
      </c>
      <c r="GP308" s="438">
        <f>IFERROR(('!!'!$D308)*('!!'!Z307/('!!'!$G308)),0)</f>
        <v>0</v>
      </c>
      <c r="GQ308" s="438">
        <f>IFERROR(('!!'!$D308)*('!!'!Q308/('!!'!$G308)),0)</f>
        <v>0</v>
      </c>
      <c r="GR308" s="429">
        <v>1</v>
      </c>
      <c r="GS308" s="429">
        <v>2</v>
      </c>
      <c r="GT308" s="432">
        <f>Monitoring!C308</f>
        <v>0</v>
      </c>
      <c r="GU308" s="432">
        <f>Reference!$C308</f>
        <v>0</v>
      </c>
      <c r="GV308" s="429">
        <f>Reference!$D308</f>
        <v>0</v>
      </c>
      <c r="GW308" s="440">
        <f t="shared" si="74"/>
        <v>0</v>
      </c>
      <c r="GX308" s="440">
        <f t="shared" si="74"/>
        <v>0</v>
      </c>
      <c r="GY308" s="440">
        <f t="shared" si="74"/>
        <v>0</v>
      </c>
      <c r="GZ308" s="440">
        <f t="shared" si="74"/>
        <v>0</v>
      </c>
      <c r="HA308" s="440"/>
      <c r="HB308" s="440"/>
      <c r="HC308" s="440"/>
      <c r="HD308" s="440"/>
      <c r="HE308" s="429">
        <f t="shared" si="68"/>
        <v>284</v>
      </c>
      <c r="HF308" s="429">
        <f>SUM(GW308*Baseline!$P$24,GX308*Baseline!$P$25,GY308*Baseline!$P$26,GZ308*Baseline!$P$27,HA308*Baseline!$P$28,HB308*Baseline!$P$29,HC308*Baseline!$P$30,HD308*Baseline!$P$31,Baseline!$P$23)</f>
        <v>626.18362874044828</v>
      </c>
      <c r="HG308" s="455" t="e">
        <f t="shared" si="69"/>
        <v>#DIV/0!</v>
      </c>
      <c r="HH308" s="429" t="e">
        <f>IF(HG308&lt;=Baseline!$J$13,1,0)</f>
        <v>#DIV/0!</v>
      </c>
      <c r="HI308" s="429">
        <f t="shared" si="70"/>
        <v>392105.93690255558</v>
      </c>
      <c r="HJ308" s="429">
        <f t="shared" si="65"/>
        <v>48910903.069173105</v>
      </c>
      <c r="HK308" s="429">
        <f t="shared" si="66"/>
        <v>58061606.033611111</v>
      </c>
      <c r="HL308" s="429" t="str">
        <f>IF(HM308=Reference!$I$12,(HF308-GV308),"")</f>
        <v/>
      </c>
      <c r="HM308" s="429" t="str">
        <f>Reference!I308</f>
        <v/>
      </c>
      <c r="HN308" s="429" t="str">
        <f t="shared" si="71"/>
        <v/>
      </c>
    </row>
    <row r="309" spans="189:222" ht="17.25" customHeight="1" x14ac:dyDescent="0.35">
      <c r="GG309" s="432"/>
      <c r="GJ309" s="429" t="str">
        <f>IF(GK309=$GJ$15,$GJ$15,IF(GJ$24=HF$4,SUM(GK$25:GK309),SUM(GL$25:GL309)))</f>
        <v>N</v>
      </c>
      <c r="GK309" s="438" t="str">
        <f>IFERROR('!!'!G309-'!!'!D309,$GJ$15)</f>
        <v>N</v>
      </c>
      <c r="GL309" s="429" t="str">
        <f t="shared" si="67"/>
        <v>N</v>
      </c>
      <c r="GM309" s="438">
        <f>IFERROR(('!!'!$D309)*('!!'!W309/('!!'!$G309)),0)</f>
        <v>0</v>
      </c>
      <c r="GN309" s="438">
        <f>IFERROR(('!!'!$D309)*('!!'!X309/('!!'!$G309)),0)</f>
        <v>0</v>
      </c>
      <c r="GO309" s="438">
        <f>IFERROR(('!!'!$D309)*('!!'!Y309/('!!'!$G309)),0)</f>
        <v>0</v>
      </c>
      <c r="GP309" s="438">
        <f>IFERROR(('!!'!$D309)*('!!'!Z308/('!!'!$G309)),0)</f>
        <v>0</v>
      </c>
      <c r="GQ309" s="438">
        <f>IFERROR(('!!'!$D309)*('!!'!Q309/('!!'!$G309)),0)</f>
        <v>0</v>
      </c>
      <c r="GR309" s="429">
        <v>1</v>
      </c>
      <c r="GS309" s="429">
        <v>2</v>
      </c>
      <c r="GT309" s="432">
        <f>Monitoring!C309</f>
        <v>0</v>
      </c>
      <c r="GU309" s="432">
        <f>Reference!$C309</f>
        <v>0</v>
      </c>
      <c r="GV309" s="429">
        <f>Reference!$D309</f>
        <v>0</v>
      </c>
      <c r="GW309" s="440">
        <f t="shared" si="74"/>
        <v>0</v>
      </c>
      <c r="GX309" s="440">
        <f t="shared" si="74"/>
        <v>0</v>
      </c>
      <c r="GY309" s="440">
        <f t="shared" si="74"/>
        <v>0</v>
      </c>
      <c r="GZ309" s="440">
        <f t="shared" si="74"/>
        <v>0</v>
      </c>
      <c r="HA309" s="440"/>
      <c r="HB309" s="440"/>
      <c r="HC309" s="440"/>
      <c r="HD309" s="440"/>
      <c r="HE309" s="429">
        <f t="shared" si="68"/>
        <v>285</v>
      </c>
      <c r="HF309" s="429">
        <f>SUM(GW309*Baseline!$P$24,GX309*Baseline!$P$25,GY309*Baseline!$P$26,GZ309*Baseline!$P$27,HA309*Baseline!$P$28,HB309*Baseline!$P$29,HC309*Baseline!$P$30,HD309*Baseline!$P$31,Baseline!$P$23)</f>
        <v>626.18362874044828</v>
      </c>
      <c r="HG309" s="455" t="e">
        <f t="shared" si="69"/>
        <v>#DIV/0!</v>
      </c>
      <c r="HH309" s="429" t="e">
        <f>IF(HG309&lt;=Baseline!$J$13,1,0)</f>
        <v>#DIV/0!</v>
      </c>
      <c r="HI309" s="429">
        <f t="shared" si="70"/>
        <v>392105.93690255558</v>
      </c>
      <c r="HJ309" s="429">
        <f t="shared" si="65"/>
        <v>48910903.069173105</v>
      </c>
      <c r="HK309" s="429">
        <f t="shared" si="66"/>
        <v>58061606.033611111</v>
      </c>
      <c r="HL309" s="429" t="str">
        <f>IF(HM309=Reference!$I$12,(HF309-GV309),"")</f>
        <v/>
      </c>
      <c r="HM309" s="429" t="str">
        <f>Reference!I309</f>
        <v/>
      </c>
      <c r="HN309" s="429" t="str">
        <f t="shared" si="71"/>
        <v/>
      </c>
    </row>
    <row r="310" spans="189:222" ht="17.25" customHeight="1" x14ac:dyDescent="0.35">
      <c r="GG310" s="432"/>
      <c r="GJ310" s="429" t="str">
        <f>IF(GK310=$GJ$15,$GJ$15,IF(GJ$24=HF$4,SUM(GK$25:GK310),SUM(GL$25:GL310)))</f>
        <v>N</v>
      </c>
      <c r="GK310" s="438" t="str">
        <f>IFERROR('!!'!G310-'!!'!D310,$GJ$15)</f>
        <v>N</v>
      </c>
      <c r="GL310" s="429" t="str">
        <f t="shared" si="67"/>
        <v>N</v>
      </c>
      <c r="GM310" s="438">
        <f>IFERROR(('!!'!$D310)*('!!'!W310/('!!'!$G310)),0)</f>
        <v>0</v>
      </c>
      <c r="GN310" s="438">
        <f>IFERROR(('!!'!$D310)*('!!'!X310/('!!'!$G310)),0)</f>
        <v>0</v>
      </c>
      <c r="GO310" s="438">
        <f>IFERROR(('!!'!$D310)*('!!'!Y310/('!!'!$G310)),0)</f>
        <v>0</v>
      </c>
      <c r="GP310" s="438">
        <f>IFERROR(('!!'!$D310)*('!!'!Z309/('!!'!$G310)),0)</f>
        <v>0</v>
      </c>
      <c r="GQ310" s="438">
        <f>IFERROR(('!!'!$D310)*('!!'!Q310/('!!'!$G310)),0)</f>
        <v>0</v>
      </c>
      <c r="GR310" s="429">
        <v>1</v>
      </c>
      <c r="GS310" s="429">
        <v>2</v>
      </c>
      <c r="GT310" s="432">
        <f>Monitoring!C310</f>
        <v>0</v>
      </c>
      <c r="GU310" s="432">
        <f>Reference!$C310</f>
        <v>0</v>
      </c>
      <c r="GV310" s="429">
        <f>Reference!$D310</f>
        <v>0</v>
      </c>
      <c r="GW310" s="440">
        <f t="shared" si="74"/>
        <v>0</v>
      </c>
      <c r="GX310" s="440">
        <f t="shared" si="74"/>
        <v>0</v>
      </c>
      <c r="GY310" s="440">
        <f t="shared" si="74"/>
        <v>0</v>
      </c>
      <c r="GZ310" s="440">
        <f t="shared" si="74"/>
        <v>0</v>
      </c>
      <c r="HA310" s="440"/>
      <c r="HB310" s="440"/>
      <c r="HC310" s="440"/>
      <c r="HD310" s="440"/>
      <c r="HE310" s="429">
        <f t="shared" si="68"/>
        <v>286</v>
      </c>
      <c r="HF310" s="429">
        <f>SUM(GW310*Baseline!$P$24,GX310*Baseline!$P$25,GY310*Baseline!$P$26,GZ310*Baseline!$P$27,HA310*Baseline!$P$28,HB310*Baseline!$P$29,HC310*Baseline!$P$30,HD310*Baseline!$P$31,Baseline!$P$23)</f>
        <v>626.18362874044828</v>
      </c>
      <c r="HG310" s="455" t="e">
        <f t="shared" si="69"/>
        <v>#DIV/0!</v>
      </c>
      <c r="HH310" s="429" t="e">
        <f>IF(HG310&lt;=Baseline!$J$13,1,0)</f>
        <v>#DIV/0!</v>
      </c>
      <c r="HI310" s="429">
        <f t="shared" si="70"/>
        <v>392105.93690255558</v>
      </c>
      <c r="HJ310" s="429">
        <f t="shared" si="65"/>
        <v>48910903.069173105</v>
      </c>
      <c r="HK310" s="429">
        <f t="shared" si="66"/>
        <v>58061606.033611111</v>
      </c>
      <c r="HL310" s="429" t="str">
        <f>IF(HM310=Reference!$I$12,(HF310-GV310),"")</f>
        <v/>
      </c>
      <c r="HM310" s="429" t="str">
        <f>Reference!I310</f>
        <v/>
      </c>
      <c r="HN310" s="429" t="str">
        <f t="shared" si="71"/>
        <v/>
      </c>
    </row>
    <row r="311" spans="189:222" ht="17.25" customHeight="1" x14ac:dyDescent="0.35">
      <c r="GG311" s="432"/>
      <c r="GJ311" s="429" t="str">
        <f>IF(GK311=$GJ$15,$GJ$15,IF(GJ$24=HF$4,SUM(GK$25:GK311),SUM(GL$25:GL311)))</f>
        <v>N</v>
      </c>
      <c r="GK311" s="438" t="str">
        <f>IFERROR('!!'!G311-'!!'!D311,$GJ$15)</f>
        <v>N</v>
      </c>
      <c r="GL311" s="429" t="str">
        <f t="shared" si="67"/>
        <v>N</v>
      </c>
      <c r="GM311" s="438">
        <f>IFERROR(('!!'!$D311)*('!!'!W311/('!!'!$G311)),0)</f>
        <v>0</v>
      </c>
      <c r="GN311" s="438">
        <f>IFERROR(('!!'!$D311)*('!!'!X311/('!!'!$G311)),0)</f>
        <v>0</v>
      </c>
      <c r="GO311" s="438">
        <f>IFERROR(('!!'!$D311)*('!!'!Y311/('!!'!$G311)),0)</f>
        <v>0</v>
      </c>
      <c r="GP311" s="438">
        <f>IFERROR(('!!'!$D311)*('!!'!Z310/('!!'!$G311)),0)</f>
        <v>0</v>
      </c>
      <c r="GQ311" s="438">
        <f>IFERROR(('!!'!$D311)*('!!'!Q311/('!!'!$G311)),0)</f>
        <v>0</v>
      </c>
      <c r="GR311" s="429">
        <v>1</v>
      </c>
      <c r="GS311" s="429">
        <v>2</v>
      </c>
      <c r="GT311" s="432">
        <f>Monitoring!C311</f>
        <v>0</v>
      </c>
      <c r="GU311" s="432">
        <f>Reference!$C311</f>
        <v>0</v>
      </c>
      <c r="GV311" s="429">
        <f>Reference!$D311</f>
        <v>0</v>
      </c>
      <c r="GW311" s="440">
        <f t="shared" si="74"/>
        <v>0</v>
      </c>
      <c r="GX311" s="440">
        <f t="shared" si="74"/>
        <v>0</v>
      </c>
      <c r="GY311" s="440">
        <f t="shared" si="74"/>
        <v>0</v>
      </c>
      <c r="GZ311" s="440">
        <f t="shared" si="74"/>
        <v>0</v>
      </c>
      <c r="HA311" s="440"/>
      <c r="HB311" s="440"/>
      <c r="HC311" s="440"/>
      <c r="HD311" s="440"/>
      <c r="HE311" s="429">
        <f t="shared" si="68"/>
        <v>287</v>
      </c>
      <c r="HF311" s="429">
        <f>SUM(GW311*Baseline!$P$24,GX311*Baseline!$P$25,GY311*Baseline!$P$26,GZ311*Baseline!$P$27,HA311*Baseline!$P$28,HB311*Baseline!$P$29,HC311*Baseline!$P$30,HD311*Baseline!$P$31,Baseline!$P$23)</f>
        <v>626.18362874044828</v>
      </c>
      <c r="HG311" s="455" t="e">
        <f t="shared" si="69"/>
        <v>#DIV/0!</v>
      </c>
      <c r="HH311" s="429" t="e">
        <f>IF(HG311&lt;=Baseline!$J$13,1,0)</f>
        <v>#DIV/0!</v>
      </c>
      <c r="HI311" s="429">
        <f t="shared" si="70"/>
        <v>392105.93690255558</v>
      </c>
      <c r="HJ311" s="429">
        <f t="shared" si="65"/>
        <v>48910903.069173105</v>
      </c>
      <c r="HK311" s="429">
        <f t="shared" si="66"/>
        <v>58061606.033611111</v>
      </c>
      <c r="HL311" s="429" t="str">
        <f>IF(HM311=Reference!$I$12,(HF311-GV311),"")</f>
        <v/>
      </c>
      <c r="HM311" s="429" t="str">
        <f>Reference!I311</f>
        <v/>
      </c>
      <c r="HN311" s="429" t="str">
        <f t="shared" si="71"/>
        <v/>
      </c>
    </row>
    <row r="312" spans="189:222" ht="17.25" customHeight="1" x14ac:dyDescent="0.35">
      <c r="GG312" s="432"/>
      <c r="GJ312" s="429" t="str">
        <f>IF(GK312=$GJ$15,$GJ$15,IF(GJ$24=HF$4,SUM(GK$25:GK312),SUM(GL$25:GL312)))</f>
        <v>N</v>
      </c>
      <c r="GK312" s="438" t="str">
        <f>IFERROR('!!'!G312-'!!'!D312,$GJ$15)</f>
        <v>N</v>
      </c>
      <c r="GL312" s="429" t="str">
        <f t="shared" si="67"/>
        <v>N</v>
      </c>
      <c r="GM312" s="438">
        <f>IFERROR(('!!'!$D312)*('!!'!W312/('!!'!$G312)),0)</f>
        <v>0</v>
      </c>
      <c r="GN312" s="438">
        <f>IFERROR(('!!'!$D312)*('!!'!X312/('!!'!$G312)),0)</f>
        <v>0</v>
      </c>
      <c r="GO312" s="438">
        <f>IFERROR(('!!'!$D312)*('!!'!Y312/('!!'!$G312)),0)</f>
        <v>0</v>
      </c>
      <c r="GP312" s="438">
        <f>IFERROR(('!!'!$D312)*('!!'!Z311/('!!'!$G312)),0)</f>
        <v>0</v>
      </c>
      <c r="GQ312" s="438">
        <f>IFERROR(('!!'!$D312)*('!!'!Q312/('!!'!$G312)),0)</f>
        <v>0</v>
      </c>
      <c r="GR312" s="429">
        <v>1</v>
      </c>
      <c r="GS312" s="429">
        <v>2</v>
      </c>
      <c r="GT312" s="432">
        <f>Monitoring!C312</f>
        <v>0</v>
      </c>
      <c r="GU312" s="432">
        <f>Reference!$C312</f>
        <v>0</v>
      </c>
      <c r="GV312" s="429">
        <f>Reference!$D312</f>
        <v>0</v>
      </c>
      <c r="GW312" s="440">
        <f t="shared" si="74"/>
        <v>0</v>
      </c>
      <c r="GX312" s="440">
        <f t="shared" si="74"/>
        <v>0</v>
      </c>
      <c r="GY312" s="440">
        <f t="shared" si="74"/>
        <v>0</v>
      </c>
      <c r="GZ312" s="440">
        <f t="shared" si="74"/>
        <v>0</v>
      </c>
      <c r="HA312" s="440"/>
      <c r="HB312" s="440"/>
      <c r="HC312" s="440"/>
      <c r="HD312" s="440"/>
      <c r="HE312" s="429">
        <f t="shared" si="68"/>
        <v>288</v>
      </c>
      <c r="HF312" s="429">
        <f>SUM(GW312*Baseline!$P$24,GX312*Baseline!$P$25,GY312*Baseline!$P$26,GZ312*Baseline!$P$27,HA312*Baseline!$P$28,HB312*Baseline!$P$29,HC312*Baseline!$P$30,HD312*Baseline!$P$31,Baseline!$P$23)</f>
        <v>626.18362874044828</v>
      </c>
      <c r="HG312" s="455" t="e">
        <f t="shared" si="69"/>
        <v>#DIV/0!</v>
      </c>
      <c r="HH312" s="429" t="e">
        <f>IF(HG312&lt;=Baseline!$J$13,1,0)</f>
        <v>#DIV/0!</v>
      </c>
      <c r="HI312" s="429">
        <f t="shared" si="70"/>
        <v>392105.93690255558</v>
      </c>
      <c r="HJ312" s="429">
        <f t="shared" si="65"/>
        <v>48910903.069173105</v>
      </c>
      <c r="HK312" s="429">
        <f t="shared" si="66"/>
        <v>58061606.033611111</v>
      </c>
      <c r="HL312" s="429" t="str">
        <f>IF(HM312=Reference!$I$12,(HF312-GV312),"")</f>
        <v/>
      </c>
      <c r="HM312" s="429" t="str">
        <f>Reference!I312</f>
        <v/>
      </c>
      <c r="HN312" s="429" t="str">
        <f t="shared" si="71"/>
        <v/>
      </c>
    </row>
    <row r="313" spans="189:222" ht="17.25" customHeight="1" x14ac:dyDescent="0.35">
      <c r="GG313" s="432"/>
      <c r="GJ313" s="429" t="str">
        <f>IF(GK313=$GJ$15,$GJ$15,IF(GJ$24=HF$4,SUM(GK$25:GK313),SUM(GL$25:GL313)))</f>
        <v>N</v>
      </c>
      <c r="GK313" s="438" t="str">
        <f>IFERROR('!!'!G313-'!!'!D313,$GJ$15)</f>
        <v>N</v>
      </c>
      <c r="GL313" s="429" t="str">
        <f t="shared" si="67"/>
        <v>N</v>
      </c>
      <c r="GM313" s="438">
        <f>IFERROR(('!!'!$D313)*('!!'!W313/('!!'!$G313)),0)</f>
        <v>0</v>
      </c>
      <c r="GN313" s="438">
        <f>IFERROR(('!!'!$D313)*('!!'!X313/('!!'!$G313)),0)</f>
        <v>0</v>
      </c>
      <c r="GO313" s="438">
        <f>IFERROR(('!!'!$D313)*('!!'!Y313/('!!'!$G313)),0)</f>
        <v>0</v>
      </c>
      <c r="GP313" s="438">
        <f>IFERROR(('!!'!$D313)*('!!'!Z312/('!!'!$G313)),0)</f>
        <v>0</v>
      </c>
      <c r="GQ313" s="438">
        <f>IFERROR(('!!'!$D313)*('!!'!Q313/('!!'!$G313)),0)</f>
        <v>0</v>
      </c>
      <c r="GR313" s="429">
        <v>1</v>
      </c>
      <c r="GS313" s="429">
        <v>2</v>
      </c>
      <c r="GT313" s="432">
        <f>Monitoring!C313</f>
        <v>0</v>
      </c>
      <c r="GU313" s="432">
        <f>Reference!$C313</f>
        <v>0</v>
      </c>
      <c r="GV313" s="429">
        <f>Reference!$D313</f>
        <v>0</v>
      </c>
      <c r="GW313" s="440">
        <f t="shared" si="74"/>
        <v>0</v>
      </c>
      <c r="GX313" s="440">
        <f t="shared" si="74"/>
        <v>0</v>
      </c>
      <c r="GY313" s="440">
        <f t="shared" si="74"/>
        <v>0</v>
      </c>
      <c r="GZ313" s="440">
        <f t="shared" si="74"/>
        <v>0</v>
      </c>
      <c r="HA313" s="440"/>
      <c r="HB313" s="440"/>
      <c r="HC313" s="440"/>
      <c r="HD313" s="440"/>
      <c r="HE313" s="429">
        <f t="shared" si="68"/>
        <v>289</v>
      </c>
      <c r="HF313" s="429">
        <f>SUM(GW313*Baseline!$P$24,GX313*Baseline!$P$25,GY313*Baseline!$P$26,GZ313*Baseline!$P$27,HA313*Baseline!$P$28,HB313*Baseline!$P$29,HC313*Baseline!$P$30,HD313*Baseline!$P$31,Baseline!$P$23)</f>
        <v>626.18362874044828</v>
      </c>
      <c r="HG313" s="455" t="e">
        <f t="shared" si="69"/>
        <v>#DIV/0!</v>
      </c>
      <c r="HH313" s="429" t="e">
        <f>IF(HG313&lt;=Baseline!$J$13,1,0)</f>
        <v>#DIV/0!</v>
      </c>
      <c r="HI313" s="429">
        <f t="shared" si="70"/>
        <v>392105.93690255558</v>
      </c>
      <c r="HJ313" s="429">
        <f t="shared" si="65"/>
        <v>48910903.069173105</v>
      </c>
      <c r="HK313" s="429">
        <f t="shared" si="66"/>
        <v>58061606.033611111</v>
      </c>
      <c r="HL313" s="429" t="str">
        <f>IF(HM313=Reference!$I$12,(HF313-GV313),"")</f>
        <v/>
      </c>
      <c r="HM313" s="429" t="str">
        <f>Reference!I313</f>
        <v/>
      </c>
      <c r="HN313" s="429" t="str">
        <f t="shared" si="71"/>
        <v/>
      </c>
    </row>
    <row r="314" spans="189:222" ht="17.25" customHeight="1" x14ac:dyDescent="0.35">
      <c r="GG314" s="432"/>
      <c r="GJ314" s="429" t="str">
        <f>IF(GK314=$GJ$15,$GJ$15,IF(GJ$24=HF$4,SUM(GK$25:GK314),SUM(GL$25:GL314)))</f>
        <v>N</v>
      </c>
      <c r="GK314" s="438" t="str">
        <f>IFERROR('!!'!G314-'!!'!D314,$GJ$15)</f>
        <v>N</v>
      </c>
      <c r="GL314" s="429" t="str">
        <f t="shared" si="67"/>
        <v>N</v>
      </c>
      <c r="GM314" s="438">
        <f>IFERROR(('!!'!$D314)*('!!'!W314/('!!'!$G314)),0)</f>
        <v>0</v>
      </c>
      <c r="GN314" s="438">
        <f>IFERROR(('!!'!$D314)*('!!'!X314/('!!'!$G314)),0)</f>
        <v>0</v>
      </c>
      <c r="GO314" s="438">
        <f>IFERROR(('!!'!$D314)*('!!'!Y314/('!!'!$G314)),0)</f>
        <v>0</v>
      </c>
      <c r="GP314" s="438">
        <f>IFERROR(('!!'!$D314)*('!!'!Z313/('!!'!$G314)),0)</f>
        <v>0</v>
      </c>
      <c r="GQ314" s="438">
        <f>IFERROR(('!!'!$D314)*('!!'!Q314/('!!'!$G314)),0)</f>
        <v>0</v>
      </c>
      <c r="GR314" s="429">
        <v>1</v>
      </c>
      <c r="GS314" s="429">
        <v>2</v>
      </c>
      <c r="GT314" s="432">
        <f>Monitoring!C314</f>
        <v>0</v>
      </c>
      <c r="GU314" s="432">
        <f>Reference!$C314</f>
        <v>0</v>
      </c>
      <c r="GV314" s="429">
        <f>Reference!$D314</f>
        <v>0</v>
      </c>
      <c r="GW314" s="440">
        <f t="shared" si="74"/>
        <v>0</v>
      </c>
      <c r="GX314" s="440">
        <f t="shared" si="74"/>
        <v>0</v>
      </c>
      <c r="GY314" s="440">
        <f t="shared" si="74"/>
        <v>0</v>
      </c>
      <c r="GZ314" s="440">
        <f t="shared" si="74"/>
        <v>0</v>
      </c>
      <c r="HA314" s="440"/>
      <c r="HB314" s="440"/>
      <c r="HC314" s="440"/>
      <c r="HD314" s="440"/>
      <c r="HE314" s="429">
        <f t="shared" si="68"/>
        <v>290</v>
      </c>
      <c r="HF314" s="429">
        <f>SUM(GW314*Baseline!$P$24,GX314*Baseline!$P$25,GY314*Baseline!$P$26,GZ314*Baseline!$P$27,HA314*Baseline!$P$28,HB314*Baseline!$P$29,HC314*Baseline!$P$30,HD314*Baseline!$P$31,Baseline!$P$23)</f>
        <v>626.18362874044828</v>
      </c>
      <c r="HG314" s="455" t="e">
        <f t="shared" si="69"/>
        <v>#DIV/0!</v>
      </c>
      <c r="HH314" s="429" t="e">
        <f>IF(HG314&lt;=Baseline!$J$13,1,0)</f>
        <v>#DIV/0!</v>
      </c>
      <c r="HI314" s="429">
        <f t="shared" si="70"/>
        <v>392105.93690255558</v>
      </c>
      <c r="HJ314" s="429">
        <f t="shared" si="65"/>
        <v>48910903.069173105</v>
      </c>
      <c r="HK314" s="429">
        <f t="shared" si="66"/>
        <v>58061606.033611111</v>
      </c>
      <c r="HL314" s="429" t="str">
        <f>IF(HM314=Reference!$I$12,(HF314-GV314),"")</f>
        <v/>
      </c>
      <c r="HM314" s="429" t="str">
        <f>Reference!I314</f>
        <v/>
      </c>
      <c r="HN314" s="429" t="str">
        <f t="shared" si="71"/>
        <v/>
      </c>
    </row>
    <row r="315" spans="189:222" ht="17.25" customHeight="1" x14ac:dyDescent="0.35">
      <c r="GG315" s="432"/>
      <c r="GJ315" s="429" t="str">
        <f>IF(GK315=$GJ$15,$GJ$15,IF(GJ$24=HF$4,SUM(GK$25:GK315),SUM(GL$25:GL315)))</f>
        <v>N</v>
      </c>
      <c r="GK315" s="438" t="str">
        <f>IFERROR('!!'!G315-'!!'!D315,$GJ$15)</f>
        <v>N</v>
      </c>
      <c r="GL315" s="429" t="str">
        <f t="shared" si="67"/>
        <v>N</v>
      </c>
      <c r="GM315" s="438">
        <f>IFERROR(('!!'!$D315)*('!!'!W315/('!!'!$G315)),0)</f>
        <v>0</v>
      </c>
      <c r="GN315" s="438">
        <f>IFERROR(('!!'!$D315)*('!!'!X315/('!!'!$G315)),0)</f>
        <v>0</v>
      </c>
      <c r="GO315" s="438">
        <f>IFERROR(('!!'!$D315)*('!!'!Y315/('!!'!$G315)),0)</f>
        <v>0</v>
      </c>
      <c r="GP315" s="438">
        <f>IFERROR(('!!'!$D315)*('!!'!Z314/('!!'!$G315)),0)</f>
        <v>0</v>
      </c>
      <c r="GQ315" s="438">
        <f>IFERROR(('!!'!$D315)*('!!'!Q315/('!!'!$G315)),0)</f>
        <v>0</v>
      </c>
      <c r="GR315" s="429">
        <v>1</v>
      </c>
      <c r="GS315" s="429">
        <v>2</v>
      </c>
      <c r="GT315" s="432">
        <f>Monitoring!C315</f>
        <v>0</v>
      </c>
      <c r="GU315" s="432">
        <f>Reference!$C315</f>
        <v>0</v>
      </c>
      <c r="GV315" s="429">
        <f>Reference!$D315</f>
        <v>0</v>
      </c>
      <c r="GW315" s="440">
        <f t="shared" ref="GW315:GZ324" si="75">IFERROR(VLOOKUP($GU315,Daten.B,GW$22,FALSE)^GW$23,0)</f>
        <v>0</v>
      </c>
      <c r="GX315" s="440">
        <f t="shared" si="75"/>
        <v>0</v>
      </c>
      <c r="GY315" s="440">
        <f t="shared" si="75"/>
        <v>0</v>
      </c>
      <c r="GZ315" s="440">
        <f t="shared" si="75"/>
        <v>0</v>
      </c>
      <c r="HA315" s="440"/>
      <c r="HB315" s="440"/>
      <c r="HC315" s="440"/>
      <c r="HD315" s="440"/>
      <c r="HE315" s="429">
        <f t="shared" si="68"/>
        <v>291</v>
      </c>
      <c r="HF315" s="429">
        <f>SUM(GW315*Baseline!$P$24,GX315*Baseline!$P$25,GY315*Baseline!$P$26,GZ315*Baseline!$P$27,HA315*Baseline!$P$28,HB315*Baseline!$P$29,HC315*Baseline!$P$30,HD315*Baseline!$P$31,Baseline!$P$23)</f>
        <v>626.18362874044828</v>
      </c>
      <c r="HG315" s="455" t="e">
        <f t="shared" si="69"/>
        <v>#DIV/0!</v>
      </c>
      <c r="HH315" s="429" t="e">
        <f>IF(HG315&lt;=Baseline!$J$13,1,0)</f>
        <v>#DIV/0!</v>
      </c>
      <c r="HI315" s="429">
        <f t="shared" si="70"/>
        <v>392105.93690255558</v>
      </c>
      <c r="HJ315" s="429">
        <f t="shared" si="65"/>
        <v>48910903.069173105</v>
      </c>
      <c r="HK315" s="429">
        <f t="shared" si="66"/>
        <v>58061606.033611111</v>
      </c>
      <c r="HL315" s="429" t="str">
        <f>IF(HM315=Reference!$I$12,(HF315-GV315),"")</f>
        <v/>
      </c>
      <c r="HM315" s="429" t="str">
        <f>Reference!I315</f>
        <v/>
      </c>
      <c r="HN315" s="429" t="str">
        <f t="shared" si="71"/>
        <v/>
      </c>
    </row>
    <row r="316" spans="189:222" ht="17.25" customHeight="1" x14ac:dyDescent="0.35">
      <c r="GG316" s="432"/>
      <c r="GJ316" s="429" t="str">
        <f>IF(GK316=$GJ$15,$GJ$15,IF(GJ$24=HF$4,SUM(GK$25:GK316),SUM(GL$25:GL316)))</f>
        <v>N</v>
      </c>
      <c r="GK316" s="438" t="str">
        <f>IFERROR('!!'!G316-'!!'!D316,$GJ$15)</f>
        <v>N</v>
      </c>
      <c r="GL316" s="429" t="str">
        <f t="shared" si="67"/>
        <v>N</v>
      </c>
      <c r="GM316" s="438">
        <f>IFERROR(('!!'!$D316)*('!!'!W316/('!!'!$G316)),0)</f>
        <v>0</v>
      </c>
      <c r="GN316" s="438">
        <f>IFERROR(('!!'!$D316)*('!!'!X316/('!!'!$G316)),0)</f>
        <v>0</v>
      </c>
      <c r="GO316" s="438">
        <f>IFERROR(('!!'!$D316)*('!!'!Y316/('!!'!$G316)),0)</f>
        <v>0</v>
      </c>
      <c r="GP316" s="438">
        <f>IFERROR(('!!'!$D316)*('!!'!Z315/('!!'!$G316)),0)</f>
        <v>0</v>
      </c>
      <c r="GQ316" s="438">
        <f>IFERROR(('!!'!$D316)*('!!'!Q316/('!!'!$G316)),0)</f>
        <v>0</v>
      </c>
      <c r="GR316" s="429">
        <v>1</v>
      </c>
      <c r="GS316" s="429">
        <v>2</v>
      </c>
      <c r="GT316" s="432">
        <f>Monitoring!C316</f>
        <v>0</v>
      </c>
      <c r="GU316" s="432">
        <f>Reference!$C316</f>
        <v>0</v>
      </c>
      <c r="GV316" s="429">
        <f>Reference!$D316</f>
        <v>0</v>
      </c>
      <c r="GW316" s="440">
        <f t="shared" si="75"/>
        <v>0</v>
      </c>
      <c r="GX316" s="440">
        <f t="shared" si="75"/>
        <v>0</v>
      </c>
      <c r="GY316" s="440">
        <f t="shared" si="75"/>
        <v>0</v>
      </c>
      <c r="GZ316" s="440">
        <f t="shared" si="75"/>
        <v>0</v>
      </c>
      <c r="HA316" s="440"/>
      <c r="HB316" s="440"/>
      <c r="HC316" s="440"/>
      <c r="HD316" s="440"/>
      <c r="HE316" s="429">
        <f t="shared" si="68"/>
        <v>292</v>
      </c>
      <c r="HF316" s="429">
        <f>SUM(GW316*Baseline!$P$24,GX316*Baseline!$P$25,GY316*Baseline!$P$26,GZ316*Baseline!$P$27,HA316*Baseline!$P$28,HB316*Baseline!$P$29,HC316*Baseline!$P$30,HD316*Baseline!$P$31,Baseline!$P$23)</f>
        <v>626.18362874044828</v>
      </c>
      <c r="HG316" s="455" t="e">
        <f t="shared" si="69"/>
        <v>#DIV/0!</v>
      </c>
      <c r="HH316" s="429" t="e">
        <f>IF(HG316&lt;=Baseline!$J$13,1,0)</f>
        <v>#DIV/0!</v>
      </c>
      <c r="HI316" s="429">
        <f t="shared" si="70"/>
        <v>392105.93690255558</v>
      </c>
      <c r="HJ316" s="429">
        <f t="shared" si="65"/>
        <v>48910903.069173105</v>
      </c>
      <c r="HK316" s="429">
        <f t="shared" si="66"/>
        <v>58061606.033611111</v>
      </c>
      <c r="HL316" s="429" t="str">
        <f>IF(HM316=Reference!$I$12,(HF316-GV316),"")</f>
        <v/>
      </c>
      <c r="HM316" s="429" t="str">
        <f>Reference!I316</f>
        <v/>
      </c>
      <c r="HN316" s="429" t="str">
        <f t="shared" si="71"/>
        <v/>
      </c>
    </row>
    <row r="317" spans="189:222" ht="17.25" customHeight="1" x14ac:dyDescent="0.35">
      <c r="GG317" s="432"/>
      <c r="GJ317" s="429" t="str">
        <f>IF(GK317=$GJ$15,$GJ$15,IF(GJ$24=HF$4,SUM(GK$25:GK317),SUM(GL$25:GL317)))</f>
        <v>N</v>
      </c>
      <c r="GK317" s="438" t="str">
        <f>IFERROR('!!'!G317-'!!'!D317,$GJ$15)</f>
        <v>N</v>
      </c>
      <c r="GL317" s="429" t="str">
        <f t="shared" si="67"/>
        <v>N</v>
      </c>
      <c r="GM317" s="438">
        <f>IFERROR(('!!'!$D317)*('!!'!W317/('!!'!$G317)),0)</f>
        <v>0</v>
      </c>
      <c r="GN317" s="438">
        <f>IFERROR(('!!'!$D317)*('!!'!X317/('!!'!$G317)),0)</f>
        <v>0</v>
      </c>
      <c r="GO317" s="438">
        <f>IFERROR(('!!'!$D317)*('!!'!Y317/('!!'!$G317)),0)</f>
        <v>0</v>
      </c>
      <c r="GP317" s="438">
        <f>IFERROR(('!!'!$D317)*('!!'!Z316/('!!'!$G317)),0)</f>
        <v>0</v>
      </c>
      <c r="GQ317" s="438">
        <f>IFERROR(('!!'!$D317)*('!!'!Q317/('!!'!$G317)),0)</f>
        <v>0</v>
      </c>
      <c r="GR317" s="429">
        <v>1</v>
      </c>
      <c r="GS317" s="429">
        <v>2</v>
      </c>
      <c r="GT317" s="432">
        <f>Monitoring!C317</f>
        <v>0</v>
      </c>
      <c r="GU317" s="432">
        <f>Reference!$C317</f>
        <v>0</v>
      </c>
      <c r="GV317" s="429">
        <f>Reference!$D317</f>
        <v>0</v>
      </c>
      <c r="GW317" s="440">
        <f t="shared" si="75"/>
        <v>0</v>
      </c>
      <c r="GX317" s="440">
        <f t="shared" si="75"/>
        <v>0</v>
      </c>
      <c r="GY317" s="440">
        <f t="shared" si="75"/>
        <v>0</v>
      </c>
      <c r="GZ317" s="440">
        <f t="shared" si="75"/>
        <v>0</v>
      </c>
      <c r="HA317" s="440"/>
      <c r="HB317" s="440"/>
      <c r="HC317" s="440"/>
      <c r="HD317" s="440"/>
      <c r="HE317" s="429">
        <f t="shared" si="68"/>
        <v>293</v>
      </c>
      <c r="HF317" s="429">
        <f>SUM(GW317*Baseline!$P$24,GX317*Baseline!$P$25,GY317*Baseline!$P$26,GZ317*Baseline!$P$27,HA317*Baseline!$P$28,HB317*Baseline!$P$29,HC317*Baseline!$P$30,HD317*Baseline!$P$31,Baseline!$P$23)</f>
        <v>626.18362874044828</v>
      </c>
      <c r="HG317" s="455" t="e">
        <f t="shared" si="69"/>
        <v>#DIV/0!</v>
      </c>
      <c r="HH317" s="429" t="e">
        <f>IF(HG317&lt;=Baseline!$J$13,1,0)</f>
        <v>#DIV/0!</v>
      </c>
      <c r="HI317" s="429">
        <f t="shared" si="70"/>
        <v>392105.93690255558</v>
      </c>
      <c r="HJ317" s="429">
        <f t="shared" si="65"/>
        <v>48910903.069173105</v>
      </c>
      <c r="HK317" s="429">
        <f t="shared" si="66"/>
        <v>58061606.033611111</v>
      </c>
      <c r="HL317" s="429" t="str">
        <f>IF(HM317=Reference!$I$12,(HF317-GV317),"")</f>
        <v/>
      </c>
      <c r="HM317" s="429" t="str">
        <f>Reference!I317</f>
        <v/>
      </c>
      <c r="HN317" s="429" t="str">
        <f t="shared" si="71"/>
        <v/>
      </c>
    </row>
    <row r="318" spans="189:222" ht="17.25" customHeight="1" x14ac:dyDescent="0.35">
      <c r="GG318" s="432"/>
      <c r="GJ318" s="429" t="str">
        <f>IF(GK318=$GJ$15,$GJ$15,IF(GJ$24=HF$4,SUM(GK$25:GK318),SUM(GL$25:GL318)))</f>
        <v>N</v>
      </c>
      <c r="GK318" s="438" t="str">
        <f>IFERROR('!!'!G318-'!!'!D318,$GJ$15)</f>
        <v>N</v>
      </c>
      <c r="GL318" s="429" t="str">
        <f t="shared" si="67"/>
        <v>N</v>
      </c>
      <c r="GM318" s="438">
        <f>IFERROR(('!!'!$D318)*('!!'!W318/('!!'!$G318)),0)</f>
        <v>0</v>
      </c>
      <c r="GN318" s="438">
        <f>IFERROR(('!!'!$D318)*('!!'!X318/('!!'!$G318)),0)</f>
        <v>0</v>
      </c>
      <c r="GO318" s="438">
        <f>IFERROR(('!!'!$D318)*('!!'!Y318/('!!'!$G318)),0)</f>
        <v>0</v>
      </c>
      <c r="GP318" s="438">
        <f>IFERROR(('!!'!$D318)*('!!'!Z317/('!!'!$G318)),0)</f>
        <v>0</v>
      </c>
      <c r="GQ318" s="438">
        <f>IFERROR(('!!'!$D318)*('!!'!Q318/('!!'!$G318)),0)</f>
        <v>0</v>
      </c>
      <c r="GR318" s="429">
        <v>1</v>
      </c>
      <c r="GS318" s="429">
        <v>2</v>
      </c>
      <c r="GT318" s="432">
        <f>Monitoring!C318</f>
        <v>0</v>
      </c>
      <c r="GU318" s="432">
        <f>Reference!$C318</f>
        <v>0</v>
      </c>
      <c r="GV318" s="429">
        <f>Reference!$D318</f>
        <v>0</v>
      </c>
      <c r="GW318" s="440">
        <f t="shared" si="75"/>
        <v>0</v>
      </c>
      <c r="GX318" s="440">
        <f t="shared" si="75"/>
        <v>0</v>
      </c>
      <c r="GY318" s="440">
        <f t="shared" si="75"/>
        <v>0</v>
      </c>
      <c r="GZ318" s="440">
        <f t="shared" si="75"/>
        <v>0</v>
      </c>
      <c r="HA318" s="440"/>
      <c r="HB318" s="440"/>
      <c r="HC318" s="440"/>
      <c r="HD318" s="440"/>
      <c r="HE318" s="429">
        <f t="shared" si="68"/>
        <v>294</v>
      </c>
      <c r="HF318" s="429">
        <f>SUM(GW318*Baseline!$P$24,GX318*Baseline!$P$25,GY318*Baseline!$P$26,GZ318*Baseline!$P$27,HA318*Baseline!$P$28,HB318*Baseline!$P$29,HC318*Baseline!$P$30,HD318*Baseline!$P$31,Baseline!$P$23)</f>
        <v>626.18362874044828</v>
      </c>
      <c r="HG318" s="455" t="e">
        <f t="shared" si="69"/>
        <v>#DIV/0!</v>
      </c>
      <c r="HH318" s="429" t="e">
        <f>IF(HG318&lt;=Baseline!$J$13,1,0)</f>
        <v>#DIV/0!</v>
      </c>
      <c r="HI318" s="429">
        <f t="shared" si="70"/>
        <v>392105.93690255558</v>
      </c>
      <c r="HJ318" s="429">
        <f t="shared" si="65"/>
        <v>48910903.069173105</v>
      </c>
      <c r="HK318" s="429">
        <f t="shared" si="66"/>
        <v>58061606.033611111</v>
      </c>
      <c r="HL318" s="429" t="str">
        <f>IF(HM318=Reference!$I$12,(HF318-GV318),"")</f>
        <v/>
      </c>
      <c r="HM318" s="429" t="str">
        <f>Reference!I318</f>
        <v/>
      </c>
      <c r="HN318" s="429" t="str">
        <f t="shared" si="71"/>
        <v/>
      </c>
    </row>
    <row r="319" spans="189:222" ht="17.25" customHeight="1" x14ac:dyDescent="0.35">
      <c r="GG319" s="432"/>
      <c r="GJ319" s="429" t="str">
        <f>IF(GK319=$GJ$15,$GJ$15,IF(GJ$24=HF$4,SUM(GK$25:GK319),SUM(GL$25:GL319)))</f>
        <v>N</v>
      </c>
      <c r="GK319" s="438" t="str">
        <f>IFERROR('!!'!G319-'!!'!D319,$GJ$15)</f>
        <v>N</v>
      </c>
      <c r="GL319" s="429" t="str">
        <f t="shared" si="67"/>
        <v>N</v>
      </c>
      <c r="GM319" s="438">
        <f>IFERROR(('!!'!$D319)*('!!'!W319/('!!'!$G319)),0)</f>
        <v>0</v>
      </c>
      <c r="GN319" s="438">
        <f>IFERROR(('!!'!$D319)*('!!'!X319/('!!'!$G319)),0)</f>
        <v>0</v>
      </c>
      <c r="GO319" s="438">
        <f>IFERROR(('!!'!$D319)*('!!'!Y319/('!!'!$G319)),0)</f>
        <v>0</v>
      </c>
      <c r="GP319" s="438">
        <f>IFERROR(('!!'!$D319)*('!!'!Z318/('!!'!$G319)),0)</f>
        <v>0</v>
      </c>
      <c r="GQ319" s="438">
        <f>IFERROR(('!!'!$D319)*('!!'!Q319/('!!'!$G319)),0)</f>
        <v>0</v>
      </c>
      <c r="GR319" s="429">
        <v>1</v>
      </c>
      <c r="GS319" s="429">
        <v>2</v>
      </c>
      <c r="GT319" s="432">
        <f>Monitoring!C319</f>
        <v>0</v>
      </c>
      <c r="GU319" s="432">
        <f>Reference!$C319</f>
        <v>0</v>
      </c>
      <c r="GV319" s="429">
        <f>Reference!$D319</f>
        <v>0</v>
      </c>
      <c r="GW319" s="440">
        <f t="shared" si="75"/>
        <v>0</v>
      </c>
      <c r="GX319" s="440">
        <f t="shared" si="75"/>
        <v>0</v>
      </c>
      <c r="GY319" s="440">
        <f t="shared" si="75"/>
        <v>0</v>
      </c>
      <c r="GZ319" s="440">
        <f t="shared" si="75"/>
        <v>0</v>
      </c>
      <c r="HA319" s="440"/>
      <c r="HB319" s="440"/>
      <c r="HC319" s="440"/>
      <c r="HD319" s="440"/>
      <c r="HE319" s="429">
        <f t="shared" si="68"/>
        <v>295</v>
      </c>
      <c r="HF319" s="429">
        <f>SUM(GW319*Baseline!$P$24,GX319*Baseline!$P$25,GY319*Baseline!$P$26,GZ319*Baseline!$P$27,HA319*Baseline!$P$28,HB319*Baseline!$P$29,HC319*Baseline!$P$30,HD319*Baseline!$P$31,Baseline!$P$23)</f>
        <v>626.18362874044828</v>
      </c>
      <c r="HG319" s="455" t="e">
        <f t="shared" si="69"/>
        <v>#DIV/0!</v>
      </c>
      <c r="HH319" s="429" t="e">
        <f>IF(HG319&lt;=Baseline!$J$13,1,0)</f>
        <v>#DIV/0!</v>
      </c>
      <c r="HI319" s="429">
        <f t="shared" si="70"/>
        <v>392105.93690255558</v>
      </c>
      <c r="HJ319" s="429">
        <f t="shared" si="65"/>
        <v>48910903.069173105</v>
      </c>
      <c r="HK319" s="429">
        <f t="shared" si="66"/>
        <v>58061606.033611111</v>
      </c>
      <c r="HL319" s="429" t="str">
        <f>IF(HM319=Reference!$I$12,(HF319-GV319),"")</f>
        <v/>
      </c>
      <c r="HM319" s="429" t="str">
        <f>Reference!I319</f>
        <v/>
      </c>
      <c r="HN319" s="429" t="str">
        <f t="shared" si="71"/>
        <v/>
      </c>
    </row>
    <row r="320" spans="189:222" ht="17.25" customHeight="1" x14ac:dyDescent="0.35">
      <c r="GG320" s="432"/>
      <c r="GJ320" s="429" t="str">
        <f>IF(GK320=$GJ$15,$GJ$15,IF(GJ$24=HF$4,SUM(GK$25:GK320),SUM(GL$25:GL320)))</f>
        <v>N</v>
      </c>
      <c r="GK320" s="438" t="str">
        <f>IFERROR('!!'!G320-'!!'!D320,$GJ$15)</f>
        <v>N</v>
      </c>
      <c r="GL320" s="429" t="str">
        <f t="shared" si="67"/>
        <v>N</v>
      </c>
      <c r="GM320" s="438">
        <f>IFERROR(('!!'!$D320)*('!!'!W320/('!!'!$G320)),0)</f>
        <v>0</v>
      </c>
      <c r="GN320" s="438">
        <f>IFERROR(('!!'!$D320)*('!!'!X320/('!!'!$G320)),0)</f>
        <v>0</v>
      </c>
      <c r="GO320" s="438">
        <f>IFERROR(('!!'!$D320)*('!!'!Y320/('!!'!$G320)),0)</f>
        <v>0</v>
      </c>
      <c r="GP320" s="438">
        <f>IFERROR(('!!'!$D320)*('!!'!Z319/('!!'!$G320)),0)</f>
        <v>0</v>
      </c>
      <c r="GQ320" s="438">
        <f>IFERROR(('!!'!$D320)*('!!'!Q320/('!!'!$G320)),0)</f>
        <v>0</v>
      </c>
      <c r="GR320" s="429">
        <v>1</v>
      </c>
      <c r="GS320" s="429">
        <v>2</v>
      </c>
      <c r="GT320" s="432">
        <f>Monitoring!C320</f>
        <v>0</v>
      </c>
      <c r="GU320" s="432">
        <f>Reference!$C320</f>
        <v>0</v>
      </c>
      <c r="GV320" s="429">
        <f>Reference!$D320</f>
        <v>0</v>
      </c>
      <c r="GW320" s="440">
        <f t="shared" si="75"/>
        <v>0</v>
      </c>
      <c r="GX320" s="440">
        <f t="shared" si="75"/>
        <v>0</v>
      </c>
      <c r="GY320" s="440">
        <f t="shared" si="75"/>
        <v>0</v>
      </c>
      <c r="GZ320" s="440">
        <f t="shared" si="75"/>
        <v>0</v>
      </c>
      <c r="HA320" s="440"/>
      <c r="HB320" s="440"/>
      <c r="HC320" s="440"/>
      <c r="HD320" s="440"/>
      <c r="HE320" s="429">
        <f t="shared" si="68"/>
        <v>296</v>
      </c>
      <c r="HF320" s="429">
        <f>SUM(GW320*Baseline!$P$24,GX320*Baseline!$P$25,GY320*Baseline!$P$26,GZ320*Baseline!$P$27,HA320*Baseline!$P$28,HB320*Baseline!$P$29,HC320*Baseline!$P$30,HD320*Baseline!$P$31,Baseline!$P$23)</f>
        <v>626.18362874044828</v>
      </c>
      <c r="HG320" s="455" t="e">
        <f t="shared" si="69"/>
        <v>#DIV/0!</v>
      </c>
      <c r="HH320" s="429" t="e">
        <f>IF(HG320&lt;=Baseline!$J$13,1,0)</f>
        <v>#DIV/0!</v>
      </c>
      <c r="HI320" s="429">
        <f t="shared" si="70"/>
        <v>392105.93690255558</v>
      </c>
      <c r="HJ320" s="429">
        <f t="shared" si="65"/>
        <v>48910903.069173105</v>
      </c>
      <c r="HK320" s="429">
        <f t="shared" si="66"/>
        <v>58061606.033611111</v>
      </c>
      <c r="HL320" s="429" t="str">
        <f>IF(HM320=Reference!$I$12,(HF320-GV320),"")</f>
        <v/>
      </c>
      <c r="HM320" s="429" t="str">
        <f>Reference!I320</f>
        <v/>
      </c>
      <c r="HN320" s="429" t="str">
        <f t="shared" si="71"/>
        <v/>
      </c>
    </row>
    <row r="321" spans="189:222" ht="17.25" customHeight="1" x14ac:dyDescent="0.35">
      <c r="GG321" s="432"/>
      <c r="GJ321" s="429" t="str">
        <f>IF(GK321=$GJ$15,$GJ$15,IF(GJ$24=HF$4,SUM(GK$25:GK321),SUM(GL$25:GL321)))</f>
        <v>N</v>
      </c>
      <c r="GK321" s="438" t="str">
        <f>IFERROR('!!'!G321-'!!'!D321,$GJ$15)</f>
        <v>N</v>
      </c>
      <c r="GL321" s="429" t="str">
        <f t="shared" si="67"/>
        <v>N</v>
      </c>
      <c r="GM321" s="438">
        <f>IFERROR(('!!'!$D321)*('!!'!W321/('!!'!$G321)),0)</f>
        <v>0</v>
      </c>
      <c r="GN321" s="438">
        <f>IFERROR(('!!'!$D321)*('!!'!X321/('!!'!$G321)),0)</f>
        <v>0</v>
      </c>
      <c r="GO321" s="438">
        <f>IFERROR(('!!'!$D321)*('!!'!Y321/('!!'!$G321)),0)</f>
        <v>0</v>
      </c>
      <c r="GP321" s="438">
        <f>IFERROR(('!!'!$D321)*('!!'!Z320/('!!'!$G321)),0)</f>
        <v>0</v>
      </c>
      <c r="GQ321" s="438">
        <f>IFERROR(('!!'!$D321)*('!!'!Q321/('!!'!$G321)),0)</f>
        <v>0</v>
      </c>
      <c r="GR321" s="429">
        <v>1</v>
      </c>
      <c r="GS321" s="429">
        <v>2</v>
      </c>
      <c r="GT321" s="432">
        <f>Monitoring!C321</f>
        <v>0</v>
      </c>
      <c r="GU321" s="432">
        <f>Reference!$C321</f>
        <v>0</v>
      </c>
      <c r="GV321" s="429">
        <f>Reference!$D321</f>
        <v>0</v>
      </c>
      <c r="GW321" s="440">
        <f t="shared" si="75"/>
        <v>0</v>
      </c>
      <c r="GX321" s="440">
        <f t="shared" si="75"/>
        <v>0</v>
      </c>
      <c r="GY321" s="440">
        <f t="shared" si="75"/>
        <v>0</v>
      </c>
      <c r="GZ321" s="440">
        <f t="shared" si="75"/>
        <v>0</v>
      </c>
      <c r="HA321" s="440"/>
      <c r="HB321" s="440"/>
      <c r="HC321" s="440"/>
      <c r="HD321" s="440"/>
      <c r="HE321" s="429">
        <f t="shared" si="68"/>
        <v>297</v>
      </c>
      <c r="HF321" s="429">
        <f>SUM(GW321*Baseline!$P$24,GX321*Baseline!$P$25,GY321*Baseline!$P$26,GZ321*Baseline!$P$27,HA321*Baseline!$P$28,HB321*Baseline!$P$29,HC321*Baseline!$P$30,HD321*Baseline!$P$31,Baseline!$P$23)</f>
        <v>626.18362874044828</v>
      </c>
      <c r="HG321" s="455" t="e">
        <f t="shared" si="69"/>
        <v>#DIV/0!</v>
      </c>
      <c r="HH321" s="429" t="e">
        <f>IF(HG321&lt;=Baseline!$J$13,1,0)</f>
        <v>#DIV/0!</v>
      </c>
      <c r="HI321" s="429">
        <f t="shared" si="70"/>
        <v>392105.93690255558</v>
      </c>
      <c r="HJ321" s="429">
        <f t="shared" si="65"/>
        <v>48910903.069173105</v>
      </c>
      <c r="HK321" s="429">
        <f t="shared" si="66"/>
        <v>58061606.033611111</v>
      </c>
      <c r="HL321" s="429" t="str">
        <f>IF(HM321=Reference!$I$12,(HF321-GV321),"")</f>
        <v/>
      </c>
      <c r="HM321" s="429" t="str">
        <f>Reference!I321</f>
        <v/>
      </c>
      <c r="HN321" s="429" t="str">
        <f t="shared" si="71"/>
        <v/>
      </c>
    </row>
    <row r="322" spans="189:222" ht="17.25" customHeight="1" x14ac:dyDescent="0.35">
      <c r="GG322" s="432"/>
      <c r="GJ322" s="429" t="str">
        <f>IF(GK322=$GJ$15,$GJ$15,IF(GJ$24=HF$4,SUM(GK$25:GK322),SUM(GL$25:GL322)))</f>
        <v>N</v>
      </c>
      <c r="GK322" s="438" t="str">
        <f>IFERROR('!!'!G322-'!!'!D322,$GJ$15)</f>
        <v>N</v>
      </c>
      <c r="GL322" s="429" t="str">
        <f t="shared" si="67"/>
        <v>N</v>
      </c>
      <c r="GM322" s="438">
        <f>IFERROR(('!!'!$D322)*('!!'!W322/('!!'!$G322)),0)</f>
        <v>0</v>
      </c>
      <c r="GN322" s="438">
        <f>IFERROR(('!!'!$D322)*('!!'!X322/('!!'!$G322)),0)</f>
        <v>0</v>
      </c>
      <c r="GO322" s="438">
        <f>IFERROR(('!!'!$D322)*('!!'!Y322/('!!'!$G322)),0)</f>
        <v>0</v>
      </c>
      <c r="GP322" s="438">
        <f>IFERROR(('!!'!$D322)*('!!'!Z321/('!!'!$G322)),0)</f>
        <v>0</v>
      </c>
      <c r="GQ322" s="438">
        <f>IFERROR(('!!'!$D322)*('!!'!Q322/('!!'!$G322)),0)</f>
        <v>0</v>
      </c>
      <c r="GR322" s="429">
        <v>1</v>
      </c>
      <c r="GS322" s="429">
        <v>2</v>
      </c>
      <c r="GT322" s="432">
        <f>Monitoring!C322</f>
        <v>0</v>
      </c>
      <c r="GU322" s="432">
        <f>Reference!$C322</f>
        <v>0</v>
      </c>
      <c r="GV322" s="429">
        <f>Reference!$D322</f>
        <v>0</v>
      </c>
      <c r="GW322" s="440">
        <f t="shared" si="75"/>
        <v>0</v>
      </c>
      <c r="GX322" s="440">
        <f t="shared" si="75"/>
        <v>0</v>
      </c>
      <c r="GY322" s="440">
        <f t="shared" si="75"/>
        <v>0</v>
      </c>
      <c r="GZ322" s="440">
        <f t="shared" si="75"/>
        <v>0</v>
      </c>
      <c r="HA322" s="440"/>
      <c r="HB322" s="440"/>
      <c r="HC322" s="440"/>
      <c r="HD322" s="440"/>
      <c r="HE322" s="429">
        <f t="shared" si="68"/>
        <v>298</v>
      </c>
      <c r="HF322" s="429">
        <f>SUM(GW322*Baseline!$P$24,GX322*Baseline!$P$25,GY322*Baseline!$P$26,GZ322*Baseline!$P$27,HA322*Baseline!$P$28,HB322*Baseline!$P$29,HC322*Baseline!$P$30,HD322*Baseline!$P$31,Baseline!$P$23)</f>
        <v>626.18362874044828</v>
      </c>
      <c r="HG322" s="455" t="e">
        <f t="shared" si="69"/>
        <v>#DIV/0!</v>
      </c>
      <c r="HH322" s="429" t="e">
        <f>IF(HG322&lt;=Baseline!$J$13,1,0)</f>
        <v>#DIV/0!</v>
      </c>
      <c r="HI322" s="429">
        <f t="shared" si="70"/>
        <v>392105.93690255558</v>
      </c>
      <c r="HJ322" s="429">
        <f t="shared" si="65"/>
        <v>48910903.069173105</v>
      </c>
      <c r="HK322" s="429">
        <f t="shared" si="66"/>
        <v>58061606.033611111</v>
      </c>
      <c r="HL322" s="429" t="str">
        <f>IF(HM322=Reference!$I$12,(HF322-GV322),"")</f>
        <v/>
      </c>
      <c r="HM322" s="429" t="str">
        <f>Reference!I322</f>
        <v/>
      </c>
      <c r="HN322" s="429" t="str">
        <f t="shared" si="71"/>
        <v/>
      </c>
    </row>
    <row r="323" spans="189:222" ht="17.25" customHeight="1" x14ac:dyDescent="0.35">
      <c r="GG323" s="432"/>
      <c r="GJ323" s="429" t="str">
        <f>IF(GK323=$GJ$15,$GJ$15,IF(GJ$24=HF$4,SUM(GK$25:GK323),SUM(GL$25:GL323)))</f>
        <v>N</v>
      </c>
      <c r="GK323" s="438" t="str">
        <f>IFERROR('!!'!G323-'!!'!D323,$GJ$15)</f>
        <v>N</v>
      </c>
      <c r="GL323" s="429" t="str">
        <f t="shared" si="67"/>
        <v>N</v>
      </c>
      <c r="GM323" s="438">
        <f>IFERROR(('!!'!$D323)*('!!'!W323/('!!'!$G323)),0)</f>
        <v>0</v>
      </c>
      <c r="GN323" s="438">
        <f>IFERROR(('!!'!$D323)*('!!'!X323/('!!'!$G323)),0)</f>
        <v>0</v>
      </c>
      <c r="GO323" s="438">
        <f>IFERROR(('!!'!$D323)*('!!'!Y323/('!!'!$G323)),0)</f>
        <v>0</v>
      </c>
      <c r="GP323" s="438">
        <f>IFERROR(('!!'!$D323)*('!!'!Z322/('!!'!$G323)),0)</f>
        <v>0</v>
      </c>
      <c r="GQ323" s="438">
        <f>IFERROR(('!!'!$D323)*('!!'!Q323/('!!'!$G323)),0)</f>
        <v>0</v>
      </c>
      <c r="GR323" s="429">
        <v>1</v>
      </c>
      <c r="GS323" s="429">
        <v>2</v>
      </c>
      <c r="GT323" s="432">
        <f>Monitoring!C323</f>
        <v>0</v>
      </c>
      <c r="GU323" s="432">
        <f>Reference!$C323</f>
        <v>0</v>
      </c>
      <c r="GV323" s="429">
        <f>Reference!$D323</f>
        <v>0</v>
      </c>
      <c r="GW323" s="440">
        <f t="shared" si="75"/>
        <v>0</v>
      </c>
      <c r="GX323" s="440">
        <f t="shared" si="75"/>
        <v>0</v>
      </c>
      <c r="GY323" s="440">
        <f t="shared" si="75"/>
        <v>0</v>
      </c>
      <c r="GZ323" s="440">
        <f t="shared" si="75"/>
        <v>0</v>
      </c>
      <c r="HA323" s="440"/>
      <c r="HB323" s="440"/>
      <c r="HC323" s="440"/>
      <c r="HD323" s="440"/>
      <c r="HE323" s="429">
        <f t="shared" si="68"/>
        <v>299</v>
      </c>
      <c r="HF323" s="429">
        <f>SUM(GW323*Baseline!$P$24,GX323*Baseline!$P$25,GY323*Baseline!$P$26,GZ323*Baseline!$P$27,HA323*Baseline!$P$28,HB323*Baseline!$P$29,HC323*Baseline!$P$30,HD323*Baseline!$P$31,Baseline!$P$23)</f>
        <v>626.18362874044828</v>
      </c>
      <c r="HG323" s="455" t="e">
        <f t="shared" si="69"/>
        <v>#DIV/0!</v>
      </c>
      <c r="HH323" s="429" t="e">
        <f>IF(HG323&lt;=Baseline!$J$13,1,0)</f>
        <v>#DIV/0!</v>
      </c>
      <c r="HI323" s="429">
        <f t="shared" si="70"/>
        <v>392105.93690255558</v>
      </c>
      <c r="HJ323" s="429">
        <f t="shared" si="65"/>
        <v>48910903.069173105</v>
      </c>
      <c r="HK323" s="429">
        <f t="shared" si="66"/>
        <v>58061606.033611111</v>
      </c>
      <c r="HL323" s="429" t="str">
        <f>IF(HM323=Reference!$I$12,(HF323-GV323),"")</f>
        <v/>
      </c>
      <c r="HM323" s="429" t="str">
        <f>Reference!I323</f>
        <v/>
      </c>
      <c r="HN323" s="429" t="str">
        <f t="shared" si="71"/>
        <v/>
      </c>
    </row>
    <row r="324" spans="189:222" ht="17.25" customHeight="1" x14ac:dyDescent="0.35">
      <c r="GG324" s="432"/>
      <c r="GJ324" s="429" t="str">
        <f>IF(GK324=$GJ$15,$GJ$15,IF(GJ$24=HF$4,SUM(GK$25:GK324),SUM(GL$25:GL324)))</f>
        <v>N</v>
      </c>
      <c r="GK324" s="438" t="str">
        <f>IFERROR('!!'!G324-'!!'!D324,$GJ$15)</f>
        <v>N</v>
      </c>
      <c r="GL324" s="429" t="str">
        <f t="shared" si="67"/>
        <v>N</v>
      </c>
      <c r="GM324" s="438">
        <f>IFERROR(('!!'!$D324)*('!!'!W324/('!!'!$G324)),0)</f>
        <v>0</v>
      </c>
      <c r="GN324" s="438">
        <f>IFERROR(('!!'!$D324)*('!!'!X324/('!!'!$G324)),0)</f>
        <v>0</v>
      </c>
      <c r="GO324" s="438">
        <f>IFERROR(('!!'!$D324)*('!!'!Y324/('!!'!$G324)),0)</f>
        <v>0</v>
      </c>
      <c r="GP324" s="438">
        <f>IFERROR(('!!'!$D324)*('!!'!Z323/('!!'!$G324)),0)</f>
        <v>0</v>
      </c>
      <c r="GQ324" s="438">
        <f>IFERROR(('!!'!$D324)*('!!'!Q324/('!!'!$G324)),0)</f>
        <v>0</v>
      </c>
      <c r="GR324" s="429">
        <v>1</v>
      </c>
      <c r="GS324" s="429">
        <v>2</v>
      </c>
      <c r="GT324" s="432">
        <f>Monitoring!C324</f>
        <v>0</v>
      </c>
      <c r="GU324" s="432">
        <f>Reference!$C324</f>
        <v>0</v>
      </c>
      <c r="GV324" s="429">
        <f>Reference!$D324</f>
        <v>0</v>
      </c>
      <c r="GW324" s="440">
        <f t="shared" si="75"/>
        <v>0</v>
      </c>
      <c r="GX324" s="440">
        <f t="shared" si="75"/>
        <v>0</v>
      </c>
      <c r="GY324" s="440">
        <f t="shared" si="75"/>
        <v>0</v>
      </c>
      <c r="GZ324" s="440">
        <f t="shared" si="75"/>
        <v>0</v>
      </c>
      <c r="HA324" s="440"/>
      <c r="HB324" s="440"/>
      <c r="HC324" s="440"/>
      <c r="HD324" s="440"/>
      <c r="HE324" s="429">
        <f t="shared" si="68"/>
        <v>300</v>
      </c>
      <c r="HF324" s="429">
        <f>SUM(GW324*Baseline!$P$24,GX324*Baseline!$P$25,GY324*Baseline!$P$26,GZ324*Baseline!$P$27,HA324*Baseline!$P$28,HB324*Baseline!$P$29,HC324*Baseline!$P$30,HD324*Baseline!$P$31,Baseline!$P$23)</f>
        <v>626.18362874044828</v>
      </c>
      <c r="HG324" s="455" t="e">
        <f t="shared" si="69"/>
        <v>#DIV/0!</v>
      </c>
      <c r="HH324" s="429" t="e">
        <f>IF(HG324&lt;=Baseline!$J$13,1,0)</f>
        <v>#DIV/0!</v>
      </c>
      <c r="HI324" s="429">
        <f t="shared" si="70"/>
        <v>392105.93690255558</v>
      </c>
      <c r="HJ324" s="429">
        <f t="shared" si="65"/>
        <v>48910903.069173105</v>
      </c>
      <c r="HK324" s="429">
        <f t="shared" si="66"/>
        <v>58061606.033611111</v>
      </c>
      <c r="HL324" s="429" t="str">
        <f>IF(HM324=Reference!$I$12,(HF324-GV324),"")</f>
        <v/>
      </c>
      <c r="HM324" s="429" t="str">
        <f>Reference!I324</f>
        <v/>
      </c>
      <c r="HN324" s="429" t="str">
        <f t="shared" si="71"/>
        <v/>
      </c>
    </row>
    <row r="325" spans="189:222" ht="17.25" customHeight="1" x14ac:dyDescent="0.35">
      <c r="GG325" s="432"/>
      <c r="GJ325" s="429" t="str">
        <f>IF(GK325=$GJ$15,$GJ$15,IF(GJ$24=HF$4,SUM(GK$25:GK325),SUM(GL$25:GL325)))</f>
        <v>N</v>
      </c>
      <c r="GK325" s="438" t="str">
        <f>IFERROR('!!'!G325-'!!'!D325,$GJ$15)</f>
        <v>N</v>
      </c>
      <c r="GL325" s="429" t="str">
        <f t="shared" si="67"/>
        <v>N</v>
      </c>
      <c r="GM325" s="438">
        <f>IFERROR(('!!'!$D325)*('!!'!W325/('!!'!$G325)),0)</f>
        <v>0</v>
      </c>
      <c r="GN325" s="438">
        <f>IFERROR(('!!'!$D325)*('!!'!X325/('!!'!$G325)),0)</f>
        <v>0</v>
      </c>
      <c r="GO325" s="438">
        <f>IFERROR(('!!'!$D325)*('!!'!Y325/('!!'!$G325)),0)</f>
        <v>0</v>
      </c>
      <c r="GP325" s="438">
        <f>IFERROR(('!!'!$D325)*('!!'!Z324/('!!'!$G325)),0)</f>
        <v>0</v>
      </c>
      <c r="GQ325" s="438">
        <f>IFERROR(('!!'!$D325)*('!!'!Q325/('!!'!$G325)),0)</f>
        <v>0</v>
      </c>
      <c r="GR325" s="429">
        <v>1</v>
      </c>
      <c r="GS325" s="429">
        <v>2</v>
      </c>
      <c r="GT325" s="432">
        <f>Monitoring!C325</f>
        <v>0</v>
      </c>
      <c r="GU325" s="432">
        <f>Reference!$C325</f>
        <v>0</v>
      </c>
      <c r="GV325" s="429">
        <f>Reference!$D325</f>
        <v>0</v>
      </c>
      <c r="GW325" s="440">
        <f t="shared" ref="GW325:GZ334" si="76">IFERROR(VLOOKUP($GU325,Daten.B,GW$22,FALSE)^GW$23,0)</f>
        <v>0</v>
      </c>
      <c r="GX325" s="440">
        <f t="shared" si="76"/>
        <v>0</v>
      </c>
      <c r="GY325" s="440">
        <f t="shared" si="76"/>
        <v>0</v>
      </c>
      <c r="GZ325" s="440">
        <f t="shared" si="76"/>
        <v>0</v>
      </c>
      <c r="HA325" s="440"/>
      <c r="HB325" s="440"/>
      <c r="HC325" s="440"/>
      <c r="HD325" s="440"/>
      <c r="HE325" s="429">
        <f t="shared" si="68"/>
        <v>301</v>
      </c>
      <c r="HF325" s="429">
        <f>SUM(GW325*Baseline!$P$24,GX325*Baseline!$P$25,GY325*Baseline!$P$26,GZ325*Baseline!$P$27,HA325*Baseline!$P$28,HB325*Baseline!$P$29,HC325*Baseline!$P$30,HD325*Baseline!$P$31,Baseline!$P$23)</f>
        <v>626.18362874044828</v>
      </c>
      <c r="HG325" s="455" t="e">
        <f t="shared" si="69"/>
        <v>#DIV/0!</v>
      </c>
      <c r="HH325" s="429" t="e">
        <f>IF(HG325&lt;=Baseline!$J$13,1,0)</f>
        <v>#DIV/0!</v>
      </c>
      <c r="HI325" s="429">
        <f t="shared" si="70"/>
        <v>392105.93690255558</v>
      </c>
      <c r="HJ325" s="429">
        <f t="shared" si="65"/>
        <v>48910903.069173105</v>
      </c>
      <c r="HK325" s="429">
        <f t="shared" si="66"/>
        <v>58061606.033611111</v>
      </c>
      <c r="HL325" s="429" t="str">
        <f>IF(HM325=Reference!$I$12,(HF325-GV325),"")</f>
        <v/>
      </c>
      <c r="HM325" s="429" t="str">
        <f>Reference!I325</f>
        <v/>
      </c>
      <c r="HN325" s="429" t="str">
        <f t="shared" si="71"/>
        <v/>
      </c>
    </row>
    <row r="326" spans="189:222" ht="17.25" customHeight="1" x14ac:dyDescent="0.35">
      <c r="GG326" s="432"/>
      <c r="GJ326" s="429" t="str">
        <f>IF(GK326=$GJ$15,$GJ$15,IF(GJ$24=HF$4,SUM(GK$25:GK326),SUM(GL$25:GL326)))</f>
        <v>N</v>
      </c>
      <c r="GK326" s="438" t="str">
        <f>IFERROR('!!'!G326-'!!'!D326,$GJ$15)</f>
        <v>N</v>
      </c>
      <c r="GL326" s="429" t="str">
        <f t="shared" si="67"/>
        <v>N</v>
      </c>
      <c r="GM326" s="438">
        <f>IFERROR(('!!'!$D326)*('!!'!W326/('!!'!$G326)),0)</f>
        <v>0</v>
      </c>
      <c r="GN326" s="438">
        <f>IFERROR(('!!'!$D326)*('!!'!X326/('!!'!$G326)),0)</f>
        <v>0</v>
      </c>
      <c r="GO326" s="438">
        <f>IFERROR(('!!'!$D326)*('!!'!Y326/('!!'!$G326)),0)</f>
        <v>0</v>
      </c>
      <c r="GP326" s="438">
        <f>IFERROR(('!!'!$D326)*('!!'!Z325/('!!'!$G326)),0)</f>
        <v>0</v>
      </c>
      <c r="GQ326" s="438">
        <f>IFERROR(('!!'!$D326)*('!!'!Q326/('!!'!$G326)),0)</f>
        <v>0</v>
      </c>
      <c r="GR326" s="429">
        <v>1</v>
      </c>
      <c r="GS326" s="429">
        <v>2</v>
      </c>
      <c r="GT326" s="432">
        <f>Monitoring!C326</f>
        <v>0</v>
      </c>
      <c r="GU326" s="432">
        <f>Reference!$C326</f>
        <v>0</v>
      </c>
      <c r="GV326" s="429">
        <f>Reference!$D326</f>
        <v>0</v>
      </c>
      <c r="GW326" s="440">
        <f t="shared" si="76"/>
        <v>0</v>
      </c>
      <c r="GX326" s="440">
        <f t="shared" si="76"/>
        <v>0</v>
      </c>
      <c r="GY326" s="440">
        <f t="shared" si="76"/>
        <v>0</v>
      </c>
      <c r="GZ326" s="440">
        <f t="shared" si="76"/>
        <v>0</v>
      </c>
      <c r="HA326" s="440"/>
      <c r="HB326" s="440"/>
      <c r="HC326" s="440"/>
      <c r="HD326" s="440"/>
      <c r="HE326" s="429">
        <f t="shared" si="68"/>
        <v>302</v>
      </c>
      <c r="HF326" s="429">
        <f>SUM(GW326*Baseline!$P$24,GX326*Baseline!$P$25,GY326*Baseline!$P$26,GZ326*Baseline!$P$27,HA326*Baseline!$P$28,HB326*Baseline!$P$29,HC326*Baseline!$P$30,HD326*Baseline!$P$31,Baseline!$P$23)</f>
        <v>626.18362874044828</v>
      </c>
      <c r="HG326" s="455" t="e">
        <f t="shared" si="69"/>
        <v>#DIV/0!</v>
      </c>
      <c r="HH326" s="429" t="e">
        <f>IF(HG326&lt;=Baseline!$J$13,1,0)</f>
        <v>#DIV/0!</v>
      </c>
      <c r="HI326" s="429">
        <f t="shared" si="70"/>
        <v>392105.93690255558</v>
      </c>
      <c r="HJ326" s="429">
        <f t="shared" si="65"/>
        <v>48910903.069173105</v>
      </c>
      <c r="HK326" s="429">
        <f t="shared" si="66"/>
        <v>58061606.033611111</v>
      </c>
      <c r="HL326" s="429" t="str">
        <f>IF(HM326=Reference!$I$12,(HF326-GV326),"")</f>
        <v/>
      </c>
      <c r="HM326" s="429" t="str">
        <f>Reference!I326</f>
        <v/>
      </c>
      <c r="HN326" s="429" t="str">
        <f t="shared" si="71"/>
        <v/>
      </c>
    </row>
    <row r="327" spans="189:222" ht="17.25" customHeight="1" x14ac:dyDescent="0.35">
      <c r="GG327" s="432"/>
      <c r="GJ327" s="429" t="str">
        <f>IF(GK327=$GJ$15,$GJ$15,IF(GJ$24=HF$4,SUM(GK$25:GK327),SUM(GL$25:GL327)))</f>
        <v>N</v>
      </c>
      <c r="GK327" s="438" t="str">
        <f>IFERROR('!!'!G327-'!!'!D327,$GJ$15)</f>
        <v>N</v>
      </c>
      <c r="GL327" s="429" t="str">
        <f t="shared" si="67"/>
        <v>N</v>
      </c>
      <c r="GM327" s="438">
        <f>IFERROR(('!!'!$D327)*('!!'!W327/('!!'!$G327)),0)</f>
        <v>0</v>
      </c>
      <c r="GN327" s="438">
        <f>IFERROR(('!!'!$D327)*('!!'!X327/('!!'!$G327)),0)</f>
        <v>0</v>
      </c>
      <c r="GO327" s="438">
        <f>IFERROR(('!!'!$D327)*('!!'!Y327/('!!'!$G327)),0)</f>
        <v>0</v>
      </c>
      <c r="GP327" s="438">
        <f>IFERROR(('!!'!$D327)*('!!'!Z326/('!!'!$G327)),0)</f>
        <v>0</v>
      </c>
      <c r="GQ327" s="438">
        <f>IFERROR(('!!'!$D327)*('!!'!Q327/('!!'!$G327)),0)</f>
        <v>0</v>
      </c>
      <c r="GR327" s="429">
        <v>1</v>
      </c>
      <c r="GS327" s="429">
        <v>2</v>
      </c>
      <c r="GT327" s="432">
        <f>Monitoring!C327</f>
        <v>0</v>
      </c>
      <c r="GU327" s="432">
        <f>Reference!$C327</f>
        <v>0</v>
      </c>
      <c r="GV327" s="429">
        <f>Reference!$D327</f>
        <v>0</v>
      </c>
      <c r="GW327" s="440">
        <f t="shared" si="76"/>
        <v>0</v>
      </c>
      <c r="GX327" s="440">
        <f t="shared" si="76"/>
        <v>0</v>
      </c>
      <c r="GY327" s="440">
        <f t="shared" si="76"/>
        <v>0</v>
      </c>
      <c r="GZ327" s="440">
        <f t="shared" si="76"/>
        <v>0</v>
      </c>
      <c r="HA327" s="440"/>
      <c r="HB327" s="440"/>
      <c r="HC327" s="440"/>
      <c r="HD327" s="440"/>
      <c r="HE327" s="429">
        <f t="shared" si="68"/>
        <v>303</v>
      </c>
      <c r="HF327" s="429">
        <f>SUM(GW327*Baseline!$P$24,GX327*Baseline!$P$25,GY327*Baseline!$P$26,GZ327*Baseline!$P$27,HA327*Baseline!$P$28,HB327*Baseline!$P$29,HC327*Baseline!$P$30,HD327*Baseline!$P$31,Baseline!$P$23)</f>
        <v>626.18362874044828</v>
      </c>
      <c r="HG327" s="455" t="e">
        <f t="shared" si="69"/>
        <v>#DIV/0!</v>
      </c>
      <c r="HH327" s="429" t="e">
        <f>IF(HG327&lt;=Baseline!$J$13,1,0)</f>
        <v>#DIV/0!</v>
      </c>
      <c r="HI327" s="429">
        <f t="shared" si="70"/>
        <v>392105.93690255558</v>
      </c>
      <c r="HJ327" s="429">
        <f t="shared" si="65"/>
        <v>48910903.069173105</v>
      </c>
      <c r="HK327" s="429">
        <f t="shared" si="66"/>
        <v>58061606.033611111</v>
      </c>
      <c r="HL327" s="429" t="str">
        <f>IF(HM327=Reference!$I$12,(HF327-GV327),"")</f>
        <v/>
      </c>
      <c r="HM327" s="429" t="str">
        <f>Reference!I327</f>
        <v/>
      </c>
      <c r="HN327" s="429" t="str">
        <f t="shared" si="71"/>
        <v/>
      </c>
    </row>
    <row r="328" spans="189:222" ht="17.25" customHeight="1" x14ac:dyDescent="0.35">
      <c r="GG328" s="432"/>
      <c r="GJ328" s="429" t="str">
        <f>IF(GK328=$GJ$15,$GJ$15,IF(GJ$24=HF$4,SUM(GK$25:GK328),SUM(GL$25:GL328)))</f>
        <v>N</v>
      </c>
      <c r="GK328" s="438" t="str">
        <f>IFERROR('!!'!G328-'!!'!D328,$GJ$15)</f>
        <v>N</v>
      </c>
      <c r="GL328" s="429" t="str">
        <f t="shared" si="67"/>
        <v>N</v>
      </c>
      <c r="GM328" s="438">
        <f>IFERROR(('!!'!$D328)*('!!'!W328/('!!'!$G328)),0)</f>
        <v>0</v>
      </c>
      <c r="GN328" s="438">
        <f>IFERROR(('!!'!$D328)*('!!'!X328/('!!'!$G328)),0)</f>
        <v>0</v>
      </c>
      <c r="GO328" s="438">
        <f>IFERROR(('!!'!$D328)*('!!'!Y328/('!!'!$G328)),0)</f>
        <v>0</v>
      </c>
      <c r="GP328" s="438">
        <f>IFERROR(('!!'!$D328)*('!!'!Z327/('!!'!$G328)),0)</f>
        <v>0</v>
      </c>
      <c r="GQ328" s="438">
        <f>IFERROR(('!!'!$D328)*('!!'!Q328/('!!'!$G328)),0)</f>
        <v>0</v>
      </c>
      <c r="GR328" s="429">
        <v>1</v>
      </c>
      <c r="GS328" s="429">
        <v>2</v>
      </c>
      <c r="GT328" s="432">
        <f>Monitoring!C328</f>
        <v>0</v>
      </c>
      <c r="GU328" s="432">
        <f>Reference!$C328</f>
        <v>0</v>
      </c>
      <c r="GV328" s="429">
        <f>Reference!$D328</f>
        <v>0</v>
      </c>
      <c r="GW328" s="440">
        <f t="shared" si="76"/>
        <v>0</v>
      </c>
      <c r="GX328" s="440">
        <f t="shared" si="76"/>
        <v>0</v>
      </c>
      <c r="GY328" s="440">
        <f t="shared" si="76"/>
        <v>0</v>
      </c>
      <c r="GZ328" s="440">
        <f t="shared" si="76"/>
        <v>0</v>
      </c>
      <c r="HA328" s="440"/>
      <c r="HB328" s="440"/>
      <c r="HC328" s="440"/>
      <c r="HD328" s="440"/>
      <c r="HE328" s="429">
        <f t="shared" si="68"/>
        <v>304</v>
      </c>
      <c r="HF328" s="429">
        <f>SUM(GW328*Baseline!$P$24,GX328*Baseline!$P$25,GY328*Baseline!$P$26,GZ328*Baseline!$P$27,HA328*Baseline!$P$28,HB328*Baseline!$P$29,HC328*Baseline!$P$30,HD328*Baseline!$P$31,Baseline!$P$23)</f>
        <v>626.18362874044828</v>
      </c>
      <c r="HG328" s="455" t="e">
        <f t="shared" si="69"/>
        <v>#DIV/0!</v>
      </c>
      <c r="HH328" s="429" t="e">
        <f>IF(HG328&lt;=Baseline!$J$13,1,0)</f>
        <v>#DIV/0!</v>
      </c>
      <c r="HI328" s="429">
        <f t="shared" si="70"/>
        <v>392105.93690255558</v>
      </c>
      <c r="HJ328" s="429">
        <f t="shared" si="65"/>
        <v>48910903.069173105</v>
      </c>
      <c r="HK328" s="429">
        <f t="shared" si="66"/>
        <v>58061606.033611111</v>
      </c>
      <c r="HL328" s="429" t="str">
        <f>IF(HM328=Reference!$I$12,(HF328-GV328),"")</f>
        <v/>
      </c>
      <c r="HM328" s="429" t="str">
        <f>Reference!I328</f>
        <v/>
      </c>
      <c r="HN328" s="429" t="str">
        <f t="shared" si="71"/>
        <v/>
      </c>
    </row>
    <row r="329" spans="189:222" ht="17.25" customHeight="1" x14ac:dyDescent="0.35">
      <c r="GG329" s="432"/>
      <c r="GJ329" s="429" t="str">
        <f>IF(GK329=$GJ$15,$GJ$15,IF(GJ$24=HF$4,SUM(GK$25:GK329),SUM(GL$25:GL329)))</f>
        <v>N</v>
      </c>
      <c r="GK329" s="438" t="str">
        <f>IFERROR('!!'!G329-'!!'!D329,$GJ$15)</f>
        <v>N</v>
      </c>
      <c r="GL329" s="429" t="str">
        <f t="shared" si="67"/>
        <v>N</v>
      </c>
      <c r="GM329" s="438">
        <f>IFERROR(('!!'!$D329)*('!!'!W329/('!!'!$G329)),0)</f>
        <v>0</v>
      </c>
      <c r="GN329" s="438">
        <f>IFERROR(('!!'!$D329)*('!!'!X329/('!!'!$G329)),0)</f>
        <v>0</v>
      </c>
      <c r="GO329" s="438">
        <f>IFERROR(('!!'!$D329)*('!!'!Y329/('!!'!$G329)),0)</f>
        <v>0</v>
      </c>
      <c r="GP329" s="438">
        <f>IFERROR(('!!'!$D329)*('!!'!Z328/('!!'!$G329)),0)</f>
        <v>0</v>
      </c>
      <c r="GQ329" s="438">
        <f>IFERROR(('!!'!$D329)*('!!'!Q329/('!!'!$G329)),0)</f>
        <v>0</v>
      </c>
      <c r="GR329" s="429">
        <v>1</v>
      </c>
      <c r="GS329" s="429">
        <v>2</v>
      </c>
      <c r="GT329" s="432">
        <f>Monitoring!C329</f>
        <v>0</v>
      </c>
      <c r="GU329" s="432">
        <f>Reference!$C329</f>
        <v>0</v>
      </c>
      <c r="GV329" s="429">
        <f>Reference!$D329</f>
        <v>0</v>
      </c>
      <c r="GW329" s="440">
        <f t="shared" si="76"/>
        <v>0</v>
      </c>
      <c r="GX329" s="440">
        <f t="shared" si="76"/>
        <v>0</v>
      </c>
      <c r="GY329" s="440">
        <f t="shared" si="76"/>
        <v>0</v>
      </c>
      <c r="GZ329" s="440">
        <f t="shared" si="76"/>
        <v>0</v>
      </c>
      <c r="HA329" s="440"/>
      <c r="HB329" s="440"/>
      <c r="HC329" s="440"/>
      <c r="HD329" s="440"/>
      <c r="HE329" s="429">
        <f t="shared" si="68"/>
        <v>305</v>
      </c>
      <c r="HF329" s="429">
        <f>SUM(GW329*Baseline!$P$24,GX329*Baseline!$P$25,GY329*Baseline!$P$26,GZ329*Baseline!$P$27,HA329*Baseline!$P$28,HB329*Baseline!$P$29,HC329*Baseline!$P$30,HD329*Baseline!$P$31,Baseline!$P$23)</f>
        <v>626.18362874044828</v>
      </c>
      <c r="HG329" s="455" t="e">
        <f t="shared" si="69"/>
        <v>#DIV/0!</v>
      </c>
      <c r="HH329" s="429" t="e">
        <f>IF(HG329&lt;=Baseline!$J$13,1,0)</f>
        <v>#DIV/0!</v>
      </c>
      <c r="HI329" s="429">
        <f t="shared" si="70"/>
        <v>392105.93690255558</v>
      </c>
      <c r="HJ329" s="429">
        <f t="shared" si="65"/>
        <v>48910903.069173105</v>
      </c>
      <c r="HK329" s="429">
        <f t="shared" si="66"/>
        <v>58061606.033611111</v>
      </c>
      <c r="HL329" s="429" t="str">
        <f>IF(HM329=Reference!$I$12,(HF329-GV329),"")</f>
        <v/>
      </c>
      <c r="HM329" s="429" t="str">
        <f>Reference!I329</f>
        <v/>
      </c>
      <c r="HN329" s="429" t="str">
        <f t="shared" si="71"/>
        <v/>
      </c>
    </row>
    <row r="330" spans="189:222" ht="17.25" customHeight="1" x14ac:dyDescent="0.35">
      <c r="GG330" s="432"/>
      <c r="GJ330" s="429" t="str">
        <f>IF(GK330=$GJ$15,$GJ$15,IF(GJ$24=HF$4,SUM(GK$25:GK330),SUM(GL$25:GL330)))</f>
        <v>N</v>
      </c>
      <c r="GK330" s="438" t="str">
        <f>IFERROR('!!'!G330-'!!'!D330,$GJ$15)</f>
        <v>N</v>
      </c>
      <c r="GL330" s="429" t="str">
        <f t="shared" si="67"/>
        <v>N</v>
      </c>
      <c r="GM330" s="438">
        <f>IFERROR(('!!'!$D330)*('!!'!W330/('!!'!$G330)),0)</f>
        <v>0</v>
      </c>
      <c r="GN330" s="438">
        <f>IFERROR(('!!'!$D330)*('!!'!X330/('!!'!$G330)),0)</f>
        <v>0</v>
      </c>
      <c r="GO330" s="438">
        <f>IFERROR(('!!'!$D330)*('!!'!Y330/('!!'!$G330)),0)</f>
        <v>0</v>
      </c>
      <c r="GP330" s="438">
        <f>IFERROR(('!!'!$D330)*('!!'!Z329/('!!'!$G330)),0)</f>
        <v>0</v>
      </c>
      <c r="GQ330" s="438">
        <f>IFERROR(('!!'!$D330)*('!!'!Q330/('!!'!$G330)),0)</f>
        <v>0</v>
      </c>
      <c r="GR330" s="429">
        <v>1</v>
      </c>
      <c r="GS330" s="429">
        <v>2</v>
      </c>
      <c r="GT330" s="432">
        <f>Monitoring!C330</f>
        <v>0</v>
      </c>
      <c r="GU330" s="432">
        <f>Reference!$C330</f>
        <v>0</v>
      </c>
      <c r="GV330" s="429">
        <f>Reference!$D330</f>
        <v>0</v>
      </c>
      <c r="GW330" s="440">
        <f t="shared" si="76"/>
        <v>0</v>
      </c>
      <c r="GX330" s="440">
        <f t="shared" si="76"/>
        <v>0</v>
      </c>
      <c r="GY330" s="440">
        <f t="shared" si="76"/>
        <v>0</v>
      </c>
      <c r="GZ330" s="440">
        <f t="shared" si="76"/>
        <v>0</v>
      </c>
      <c r="HA330" s="440"/>
      <c r="HB330" s="440"/>
      <c r="HC330" s="440"/>
      <c r="HD330" s="440"/>
      <c r="HE330" s="429">
        <f t="shared" si="68"/>
        <v>306</v>
      </c>
      <c r="HF330" s="429">
        <f>SUM(GW330*Baseline!$P$24,GX330*Baseline!$P$25,GY330*Baseline!$P$26,GZ330*Baseline!$P$27,HA330*Baseline!$P$28,HB330*Baseline!$P$29,HC330*Baseline!$P$30,HD330*Baseline!$P$31,Baseline!$P$23)</f>
        <v>626.18362874044828</v>
      </c>
      <c r="HG330" s="455" t="e">
        <f t="shared" si="69"/>
        <v>#DIV/0!</v>
      </c>
      <c r="HH330" s="429" t="e">
        <f>IF(HG330&lt;=Baseline!$J$13,1,0)</f>
        <v>#DIV/0!</v>
      </c>
      <c r="HI330" s="429">
        <f t="shared" si="70"/>
        <v>392105.93690255558</v>
      </c>
      <c r="HJ330" s="429">
        <f t="shared" si="65"/>
        <v>48910903.069173105</v>
      </c>
      <c r="HK330" s="429">
        <f t="shared" si="66"/>
        <v>58061606.033611111</v>
      </c>
      <c r="HL330" s="429" t="str">
        <f>IF(HM330=Reference!$I$12,(HF330-GV330),"")</f>
        <v/>
      </c>
      <c r="HM330" s="429" t="str">
        <f>Reference!I330</f>
        <v/>
      </c>
      <c r="HN330" s="429" t="str">
        <f t="shared" si="71"/>
        <v/>
      </c>
    </row>
    <row r="331" spans="189:222" ht="17.25" customHeight="1" x14ac:dyDescent="0.35">
      <c r="GG331" s="432"/>
      <c r="GJ331" s="429" t="str">
        <f>IF(GK331=$GJ$15,$GJ$15,IF(GJ$24=HF$4,SUM(GK$25:GK331),SUM(GL$25:GL331)))</f>
        <v>N</v>
      </c>
      <c r="GK331" s="438" t="str">
        <f>IFERROR('!!'!G331-'!!'!D331,$GJ$15)</f>
        <v>N</v>
      </c>
      <c r="GL331" s="429" t="str">
        <f t="shared" si="67"/>
        <v>N</v>
      </c>
      <c r="GM331" s="438">
        <f>IFERROR(('!!'!$D331)*('!!'!W331/('!!'!$G331)),0)</f>
        <v>0</v>
      </c>
      <c r="GN331" s="438">
        <f>IFERROR(('!!'!$D331)*('!!'!X331/('!!'!$G331)),0)</f>
        <v>0</v>
      </c>
      <c r="GO331" s="438">
        <f>IFERROR(('!!'!$D331)*('!!'!Y331/('!!'!$G331)),0)</f>
        <v>0</v>
      </c>
      <c r="GP331" s="438">
        <f>IFERROR(('!!'!$D331)*('!!'!Z330/('!!'!$G331)),0)</f>
        <v>0</v>
      </c>
      <c r="GQ331" s="438">
        <f>IFERROR(('!!'!$D331)*('!!'!Q331/('!!'!$G331)),0)</f>
        <v>0</v>
      </c>
      <c r="GR331" s="429">
        <v>1</v>
      </c>
      <c r="GS331" s="429">
        <v>2</v>
      </c>
      <c r="GT331" s="432">
        <f>Monitoring!C331</f>
        <v>0</v>
      </c>
      <c r="GU331" s="432">
        <f>Reference!$C331</f>
        <v>0</v>
      </c>
      <c r="GV331" s="429">
        <f>Reference!$D331</f>
        <v>0</v>
      </c>
      <c r="GW331" s="440">
        <f t="shared" si="76"/>
        <v>0</v>
      </c>
      <c r="GX331" s="440">
        <f t="shared" si="76"/>
        <v>0</v>
      </c>
      <c r="GY331" s="440">
        <f t="shared" si="76"/>
        <v>0</v>
      </c>
      <c r="GZ331" s="440">
        <f t="shared" si="76"/>
        <v>0</v>
      </c>
      <c r="HA331" s="440"/>
      <c r="HB331" s="440"/>
      <c r="HC331" s="440"/>
      <c r="HD331" s="440"/>
      <c r="HE331" s="429">
        <f t="shared" si="68"/>
        <v>307</v>
      </c>
      <c r="HF331" s="429">
        <f>SUM(GW331*Baseline!$P$24,GX331*Baseline!$P$25,GY331*Baseline!$P$26,GZ331*Baseline!$P$27,HA331*Baseline!$P$28,HB331*Baseline!$P$29,HC331*Baseline!$P$30,HD331*Baseline!$P$31,Baseline!$P$23)</f>
        <v>626.18362874044828</v>
      </c>
      <c r="HG331" s="455" t="e">
        <f t="shared" si="69"/>
        <v>#DIV/0!</v>
      </c>
      <c r="HH331" s="429" t="e">
        <f>IF(HG331&lt;=Baseline!$J$13,1,0)</f>
        <v>#DIV/0!</v>
      </c>
      <c r="HI331" s="429">
        <f t="shared" si="70"/>
        <v>392105.93690255558</v>
      </c>
      <c r="HJ331" s="429">
        <f t="shared" si="65"/>
        <v>48910903.069173105</v>
      </c>
      <c r="HK331" s="429">
        <f t="shared" si="66"/>
        <v>58061606.033611111</v>
      </c>
      <c r="HL331" s="429" t="str">
        <f>IF(HM331=Reference!$I$12,(HF331-GV331),"")</f>
        <v/>
      </c>
      <c r="HM331" s="429" t="str">
        <f>Reference!I331</f>
        <v/>
      </c>
      <c r="HN331" s="429" t="str">
        <f t="shared" si="71"/>
        <v/>
      </c>
    </row>
    <row r="332" spans="189:222" ht="17.25" customHeight="1" x14ac:dyDescent="0.35">
      <c r="GG332" s="432"/>
      <c r="GJ332" s="429" t="str">
        <f>IF(GK332=$GJ$15,$GJ$15,IF(GJ$24=HF$4,SUM(GK$25:GK332),SUM(GL$25:GL332)))</f>
        <v>N</v>
      </c>
      <c r="GK332" s="438" t="str">
        <f>IFERROR('!!'!G332-'!!'!D332,$GJ$15)</f>
        <v>N</v>
      </c>
      <c r="GL332" s="429" t="str">
        <f t="shared" si="67"/>
        <v>N</v>
      </c>
      <c r="GM332" s="438">
        <f>IFERROR(('!!'!$D332)*('!!'!W332/('!!'!$G332)),0)</f>
        <v>0</v>
      </c>
      <c r="GN332" s="438">
        <f>IFERROR(('!!'!$D332)*('!!'!X332/('!!'!$G332)),0)</f>
        <v>0</v>
      </c>
      <c r="GO332" s="438">
        <f>IFERROR(('!!'!$D332)*('!!'!Y332/('!!'!$G332)),0)</f>
        <v>0</v>
      </c>
      <c r="GP332" s="438">
        <f>IFERROR(('!!'!$D332)*('!!'!Z331/('!!'!$G332)),0)</f>
        <v>0</v>
      </c>
      <c r="GQ332" s="438">
        <f>IFERROR(('!!'!$D332)*('!!'!Q332/('!!'!$G332)),0)</f>
        <v>0</v>
      </c>
      <c r="GR332" s="429">
        <v>1</v>
      </c>
      <c r="GS332" s="429">
        <v>2</v>
      </c>
      <c r="GT332" s="432">
        <f>Monitoring!C332</f>
        <v>0</v>
      </c>
      <c r="GU332" s="432">
        <f>Reference!$C332</f>
        <v>0</v>
      </c>
      <c r="GV332" s="429">
        <f>Reference!$D332</f>
        <v>0</v>
      </c>
      <c r="GW332" s="440">
        <f t="shared" si="76"/>
        <v>0</v>
      </c>
      <c r="GX332" s="440">
        <f t="shared" si="76"/>
        <v>0</v>
      </c>
      <c r="GY332" s="440">
        <f t="shared" si="76"/>
        <v>0</v>
      </c>
      <c r="GZ332" s="440">
        <f t="shared" si="76"/>
        <v>0</v>
      </c>
      <c r="HA332" s="440"/>
      <c r="HB332" s="440"/>
      <c r="HC332" s="440"/>
      <c r="HD332" s="440"/>
      <c r="HE332" s="429">
        <f t="shared" si="68"/>
        <v>308</v>
      </c>
      <c r="HF332" s="429">
        <f>SUM(GW332*Baseline!$P$24,GX332*Baseline!$P$25,GY332*Baseline!$P$26,GZ332*Baseline!$P$27,HA332*Baseline!$P$28,HB332*Baseline!$P$29,HC332*Baseline!$P$30,HD332*Baseline!$P$31,Baseline!$P$23)</f>
        <v>626.18362874044828</v>
      </c>
      <c r="HG332" s="455" t="e">
        <f t="shared" si="69"/>
        <v>#DIV/0!</v>
      </c>
      <c r="HH332" s="429" t="e">
        <f>IF(HG332&lt;=Baseline!$J$13,1,0)</f>
        <v>#DIV/0!</v>
      </c>
      <c r="HI332" s="429">
        <f t="shared" si="70"/>
        <v>392105.93690255558</v>
      </c>
      <c r="HJ332" s="429">
        <f t="shared" si="65"/>
        <v>48910903.069173105</v>
      </c>
      <c r="HK332" s="429">
        <f t="shared" si="66"/>
        <v>58061606.033611111</v>
      </c>
      <c r="HL332" s="429" t="str">
        <f>IF(HM332=Reference!$I$12,(HF332-GV332),"")</f>
        <v/>
      </c>
      <c r="HM332" s="429" t="str">
        <f>Reference!I332</f>
        <v/>
      </c>
      <c r="HN332" s="429" t="str">
        <f t="shared" si="71"/>
        <v/>
      </c>
    </row>
    <row r="333" spans="189:222" ht="17.25" customHeight="1" x14ac:dyDescent="0.35">
      <c r="GG333" s="432"/>
      <c r="GJ333" s="429" t="str">
        <f>IF(GK333=$GJ$15,$GJ$15,IF(GJ$24=HF$4,SUM(GK$25:GK333),SUM(GL$25:GL333)))</f>
        <v>N</v>
      </c>
      <c r="GK333" s="438" t="str">
        <f>IFERROR('!!'!G333-'!!'!D333,$GJ$15)</f>
        <v>N</v>
      </c>
      <c r="GL333" s="429" t="str">
        <f t="shared" si="67"/>
        <v>N</v>
      </c>
      <c r="GM333" s="438">
        <f>IFERROR(('!!'!$D333)*('!!'!W333/('!!'!$G333)),0)</f>
        <v>0</v>
      </c>
      <c r="GN333" s="438">
        <f>IFERROR(('!!'!$D333)*('!!'!X333/('!!'!$G333)),0)</f>
        <v>0</v>
      </c>
      <c r="GO333" s="438">
        <f>IFERROR(('!!'!$D333)*('!!'!Y333/('!!'!$G333)),0)</f>
        <v>0</v>
      </c>
      <c r="GP333" s="438">
        <f>IFERROR(('!!'!$D333)*('!!'!Z332/('!!'!$G333)),0)</f>
        <v>0</v>
      </c>
      <c r="GQ333" s="438">
        <f>IFERROR(('!!'!$D333)*('!!'!Q333/('!!'!$G333)),0)</f>
        <v>0</v>
      </c>
      <c r="GR333" s="429">
        <v>1</v>
      </c>
      <c r="GS333" s="429">
        <v>2</v>
      </c>
      <c r="GT333" s="432">
        <f>Monitoring!C333</f>
        <v>0</v>
      </c>
      <c r="GU333" s="432">
        <f>Reference!$C333</f>
        <v>0</v>
      </c>
      <c r="GV333" s="429">
        <f>Reference!$D333</f>
        <v>0</v>
      </c>
      <c r="GW333" s="440">
        <f t="shared" si="76"/>
        <v>0</v>
      </c>
      <c r="GX333" s="440">
        <f t="shared" si="76"/>
        <v>0</v>
      </c>
      <c r="GY333" s="440">
        <f t="shared" si="76"/>
        <v>0</v>
      </c>
      <c r="GZ333" s="440">
        <f t="shared" si="76"/>
        <v>0</v>
      </c>
      <c r="HA333" s="440"/>
      <c r="HB333" s="440"/>
      <c r="HC333" s="440"/>
      <c r="HD333" s="440"/>
      <c r="HE333" s="429">
        <f t="shared" si="68"/>
        <v>309</v>
      </c>
      <c r="HF333" s="429">
        <f>SUM(GW333*Baseline!$P$24,GX333*Baseline!$P$25,GY333*Baseline!$P$26,GZ333*Baseline!$P$27,HA333*Baseline!$P$28,HB333*Baseline!$P$29,HC333*Baseline!$P$30,HD333*Baseline!$P$31,Baseline!$P$23)</f>
        <v>626.18362874044828</v>
      </c>
      <c r="HG333" s="455" t="e">
        <f t="shared" si="69"/>
        <v>#DIV/0!</v>
      </c>
      <c r="HH333" s="429" t="e">
        <f>IF(HG333&lt;=Baseline!$J$13,1,0)</f>
        <v>#DIV/0!</v>
      </c>
      <c r="HI333" s="429">
        <f t="shared" si="70"/>
        <v>392105.93690255558</v>
      </c>
      <c r="HJ333" s="429">
        <f t="shared" si="65"/>
        <v>48910903.069173105</v>
      </c>
      <c r="HK333" s="429">
        <f t="shared" si="66"/>
        <v>58061606.033611111</v>
      </c>
      <c r="HL333" s="429" t="str">
        <f>IF(HM333=Reference!$I$12,(HF333-GV333),"")</f>
        <v/>
      </c>
      <c r="HM333" s="429" t="str">
        <f>Reference!I333</f>
        <v/>
      </c>
      <c r="HN333" s="429" t="str">
        <f t="shared" si="71"/>
        <v/>
      </c>
    </row>
    <row r="334" spans="189:222" ht="17.25" customHeight="1" x14ac:dyDescent="0.35">
      <c r="GG334" s="432"/>
      <c r="GJ334" s="429" t="str">
        <f>IF(GK334=$GJ$15,$GJ$15,IF(GJ$24=HF$4,SUM(GK$25:GK334),SUM(GL$25:GL334)))</f>
        <v>N</v>
      </c>
      <c r="GK334" s="438" t="str">
        <f>IFERROR('!!'!G334-'!!'!D334,$GJ$15)</f>
        <v>N</v>
      </c>
      <c r="GL334" s="429" t="str">
        <f t="shared" si="67"/>
        <v>N</v>
      </c>
      <c r="GM334" s="438">
        <f>IFERROR(('!!'!$D334)*('!!'!W334/('!!'!$G334)),0)</f>
        <v>0</v>
      </c>
      <c r="GN334" s="438">
        <f>IFERROR(('!!'!$D334)*('!!'!X334/('!!'!$G334)),0)</f>
        <v>0</v>
      </c>
      <c r="GO334" s="438">
        <f>IFERROR(('!!'!$D334)*('!!'!Y334/('!!'!$G334)),0)</f>
        <v>0</v>
      </c>
      <c r="GP334" s="438">
        <f>IFERROR(('!!'!$D334)*('!!'!Z333/('!!'!$G334)),0)</f>
        <v>0</v>
      </c>
      <c r="GQ334" s="438">
        <f>IFERROR(('!!'!$D334)*('!!'!Q334/('!!'!$G334)),0)</f>
        <v>0</v>
      </c>
      <c r="GR334" s="429">
        <v>1</v>
      </c>
      <c r="GS334" s="429">
        <v>2</v>
      </c>
      <c r="GT334" s="432">
        <f>Monitoring!C334</f>
        <v>0</v>
      </c>
      <c r="GU334" s="432">
        <f>Reference!$C334</f>
        <v>0</v>
      </c>
      <c r="GV334" s="429">
        <f>Reference!$D334</f>
        <v>0</v>
      </c>
      <c r="GW334" s="440">
        <f t="shared" si="76"/>
        <v>0</v>
      </c>
      <c r="GX334" s="440">
        <f t="shared" si="76"/>
        <v>0</v>
      </c>
      <c r="GY334" s="440">
        <f t="shared" si="76"/>
        <v>0</v>
      </c>
      <c r="GZ334" s="440">
        <f t="shared" si="76"/>
        <v>0</v>
      </c>
      <c r="HA334" s="440"/>
      <c r="HB334" s="440"/>
      <c r="HC334" s="440"/>
      <c r="HD334" s="440"/>
      <c r="HE334" s="429">
        <f t="shared" si="68"/>
        <v>310</v>
      </c>
      <c r="HF334" s="429">
        <f>SUM(GW334*Baseline!$P$24,GX334*Baseline!$P$25,GY334*Baseline!$P$26,GZ334*Baseline!$P$27,HA334*Baseline!$P$28,HB334*Baseline!$P$29,HC334*Baseline!$P$30,HD334*Baseline!$P$31,Baseline!$P$23)</f>
        <v>626.18362874044828</v>
      </c>
      <c r="HG334" s="455" t="e">
        <f t="shared" si="69"/>
        <v>#DIV/0!</v>
      </c>
      <c r="HH334" s="429" t="e">
        <f>IF(HG334&lt;=Baseline!$J$13,1,0)</f>
        <v>#DIV/0!</v>
      </c>
      <c r="HI334" s="429">
        <f t="shared" si="70"/>
        <v>392105.93690255558</v>
      </c>
      <c r="HJ334" s="429">
        <f t="shared" si="65"/>
        <v>48910903.069173105</v>
      </c>
      <c r="HK334" s="429">
        <f t="shared" si="66"/>
        <v>58061606.033611111</v>
      </c>
      <c r="HL334" s="429" t="str">
        <f>IF(HM334=Reference!$I$12,(HF334-GV334),"")</f>
        <v/>
      </c>
      <c r="HM334" s="429" t="str">
        <f>Reference!I334</f>
        <v/>
      </c>
      <c r="HN334" s="429" t="str">
        <f t="shared" si="71"/>
        <v/>
      </c>
    </row>
    <row r="335" spans="189:222" ht="17.25" customHeight="1" x14ac:dyDescent="0.35">
      <c r="GG335" s="432"/>
      <c r="GJ335" s="429" t="str">
        <f>IF(GK335=$GJ$15,$GJ$15,IF(GJ$24=HF$4,SUM(GK$25:GK335),SUM(GL$25:GL335)))</f>
        <v>N</v>
      </c>
      <c r="GK335" s="438" t="str">
        <f>IFERROR('!!'!G335-'!!'!D335,$GJ$15)</f>
        <v>N</v>
      </c>
      <c r="GL335" s="429" t="str">
        <f t="shared" si="67"/>
        <v>N</v>
      </c>
      <c r="GM335" s="438">
        <f>IFERROR(('!!'!$D335)*('!!'!W335/('!!'!$G335)),0)</f>
        <v>0</v>
      </c>
      <c r="GN335" s="438">
        <f>IFERROR(('!!'!$D335)*('!!'!X335/('!!'!$G335)),0)</f>
        <v>0</v>
      </c>
      <c r="GO335" s="438">
        <f>IFERROR(('!!'!$D335)*('!!'!Y335/('!!'!$G335)),0)</f>
        <v>0</v>
      </c>
      <c r="GP335" s="438">
        <f>IFERROR(('!!'!$D335)*('!!'!Z334/('!!'!$G335)),0)</f>
        <v>0</v>
      </c>
      <c r="GQ335" s="438">
        <f>IFERROR(('!!'!$D335)*('!!'!Q335/('!!'!$G335)),0)</f>
        <v>0</v>
      </c>
      <c r="GR335" s="429">
        <v>1</v>
      </c>
      <c r="GS335" s="429">
        <v>2</v>
      </c>
      <c r="GT335" s="432">
        <f>Monitoring!C335</f>
        <v>0</v>
      </c>
      <c r="GU335" s="432">
        <f>Reference!$C335</f>
        <v>0</v>
      </c>
      <c r="GV335" s="429">
        <f>Reference!$D335</f>
        <v>0</v>
      </c>
      <c r="GW335" s="440">
        <f t="shared" ref="GW335:GZ344" si="77">IFERROR(VLOOKUP($GU335,Daten.B,GW$22,FALSE)^GW$23,0)</f>
        <v>0</v>
      </c>
      <c r="GX335" s="440">
        <f t="shared" si="77"/>
        <v>0</v>
      </c>
      <c r="GY335" s="440">
        <f t="shared" si="77"/>
        <v>0</v>
      </c>
      <c r="GZ335" s="440">
        <f t="shared" si="77"/>
        <v>0</v>
      </c>
      <c r="HA335" s="440"/>
      <c r="HB335" s="440"/>
      <c r="HC335" s="440"/>
      <c r="HD335" s="440"/>
      <c r="HE335" s="429">
        <f t="shared" si="68"/>
        <v>311</v>
      </c>
      <c r="HF335" s="429">
        <f>SUM(GW335*Baseline!$P$24,GX335*Baseline!$P$25,GY335*Baseline!$P$26,GZ335*Baseline!$P$27,HA335*Baseline!$P$28,HB335*Baseline!$P$29,HC335*Baseline!$P$30,HD335*Baseline!$P$31,Baseline!$P$23)</f>
        <v>626.18362874044828</v>
      </c>
      <c r="HG335" s="455" t="e">
        <f t="shared" si="69"/>
        <v>#DIV/0!</v>
      </c>
      <c r="HH335" s="429" t="e">
        <f>IF(HG335&lt;=Baseline!$J$13,1,0)</f>
        <v>#DIV/0!</v>
      </c>
      <c r="HI335" s="429">
        <f t="shared" si="70"/>
        <v>392105.93690255558</v>
      </c>
      <c r="HJ335" s="429">
        <f t="shared" si="65"/>
        <v>48910903.069173105</v>
      </c>
      <c r="HK335" s="429">
        <f t="shared" si="66"/>
        <v>58061606.033611111</v>
      </c>
      <c r="HL335" s="429" t="str">
        <f>IF(HM335=Reference!$I$12,(HF335-GV335),"")</f>
        <v/>
      </c>
      <c r="HM335" s="429" t="str">
        <f>Reference!I335</f>
        <v/>
      </c>
      <c r="HN335" s="429" t="str">
        <f t="shared" si="71"/>
        <v/>
      </c>
    </row>
    <row r="336" spans="189:222" ht="17.25" customHeight="1" x14ac:dyDescent="0.35">
      <c r="GG336" s="432"/>
      <c r="GJ336" s="429" t="str">
        <f>IF(GK336=$GJ$15,$GJ$15,IF(GJ$24=HF$4,SUM(GK$25:GK336),SUM(GL$25:GL336)))</f>
        <v>N</v>
      </c>
      <c r="GK336" s="438" t="str">
        <f>IFERROR('!!'!G336-'!!'!D336,$GJ$15)</f>
        <v>N</v>
      </c>
      <c r="GL336" s="429" t="str">
        <f t="shared" si="67"/>
        <v>N</v>
      </c>
      <c r="GM336" s="438">
        <f>IFERROR(('!!'!$D336)*('!!'!W336/('!!'!$G336)),0)</f>
        <v>0</v>
      </c>
      <c r="GN336" s="438">
        <f>IFERROR(('!!'!$D336)*('!!'!X336/('!!'!$G336)),0)</f>
        <v>0</v>
      </c>
      <c r="GO336" s="438">
        <f>IFERROR(('!!'!$D336)*('!!'!Y336/('!!'!$G336)),0)</f>
        <v>0</v>
      </c>
      <c r="GP336" s="438">
        <f>IFERROR(('!!'!$D336)*('!!'!Z335/('!!'!$G336)),0)</f>
        <v>0</v>
      </c>
      <c r="GQ336" s="438">
        <f>IFERROR(('!!'!$D336)*('!!'!Q336/('!!'!$G336)),0)</f>
        <v>0</v>
      </c>
      <c r="GR336" s="429">
        <v>1</v>
      </c>
      <c r="GS336" s="429">
        <v>2</v>
      </c>
      <c r="GT336" s="432">
        <f>Monitoring!C336</f>
        <v>0</v>
      </c>
      <c r="GU336" s="432">
        <f>Reference!$C336</f>
        <v>0</v>
      </c>
      <c r="GV336" s="429">
        <f>Reference!$D336</f>
        <v>0</v>
      </c>
      <c r="GW336" s="440">
        <f t="shared" si="77"/>
        <v>0</v>
      </c>
      <c r="GX336" s="440">
        <f t="shared" si="77"/>
        <v>0</v>
      </c>
      <c r="GY336" s="440">
        <f t="shared" si="77"/>
        <v>0</v>
      </c>
      <c r="GZ336" s="440">
        <f t="shared" si="77"/>
        <v>0</v>
      </c>
      <c r="HA336" s="440"/>
      <c r="HB336" s="440"/>
      <c r="HC336" s="440"/>
      <c r="HD336" s="440"/>
      <c r="HE336" s="429">
        <f t="shared" si="68"/>
        <v>312</v>
      </c>
      <c r="HF336" s="429">
        <f>SUM(GW336*Baseline!$P$24,GX336*Baseline!$P$25,GY336*Baseline!$P$26,GZ336*Baseline!$P$27,HA336*Baseline!$P$28,HB336*Baseline!$P$29,HC336*Baseline!$P$30,HD336*Baseline!$P$31,Baseline!$P$23)</f>
        <v>626.18362874044828</v>
      </c>
      <c r="HG336" s="455" t="e">
        <f t="shared" si="69"/>
        <v>#DIV/0!</v>
      </c>
      <c r="HH336" s="429" t="e">
        <f>IF(HG336&lt;=Baseline!$J$13,1,0)</f>
        <v>#DIV/0!</v>
      </c>
      <c r="HI336" s="429">
        <f t="shared" si="70"/>
        <v>392105.93690255558</v>
      </c>
      <c r="HJ336" s="429">
        <f t="shared" si="65"/>
        <v>48910903.069173105</v>
      </c>
      <c r="HK336" s="429">
        <f t="shared" si="66"/>
        <v>58061606.033611111</v>
      </c>
      <c r="HL336" s="429" t="str">
        <f>IF(HM336=Reference!$I$12,(HF336-GV336),"")</f>
        <v/>
      </c>
      <c r="HM336" s="429" t="str">
        <f>Reference!I336</f>
        <v/>
      </c>
      <c r="HN336" s="429" t="str">
        <f t="shared" si="71"/>
        <v/>
      </c>
    </row>
    <row r="337" spans="189:222" ht="17.25" customHeight="1" x14ac:dyDescent="0.35">
      <c r="GG337" s="432"/>
      <c r="GJ337" s="429" t="str">
        <f>IF(GK337=$GJ$15,$GJ$15,IF(GJ$24=HF$4,SUM(GK$25:GK337),SUM(GL$25:GL337)))</f>
        <v>N</v>
      </c>
      <c r="GK337" s="438" t="str">
        <f>IFERROR('!!'!G337-'!!'!D337,$GJ$15)</f>
        <v>N</v>
      </c>
      <c r="GL337" s="429" t="str">
        <f t="shared" si="67"/>
        <v>N</v>
      </c>
      <c r="GM337" s="438">
        <f>IFERROR(('!!'!$D337)*('!!'!W337/('!!'!$G337)),0)</f>
        <v>0</v>
      </c>
      <c r="GN337" s="438">
        <f>IFERROR(('!!'!$D337)*('!!'!X337/('!!'!$G337)),0)</f>
        <v>0</v>
      </c>
      <c r="GO337" s="438">
        <f>IFERROR(('!!'!$D337)*('!!'!Y337/('!!'!$G337)),0)</f>
        <v>0</v>
      </c>
      <c r="GP337" s="438">
        <f>IFERROR(('!!'!$D337)*('!!'!Z336/('!!'!$G337)),0)</f>
        <v>0</v>
      </c>
      <c r="GQ337" s="438">
        <f>IFERROR(('!!'!$D337)*('!!'!Q337/('!!'!$G337)),0)</f>
        <v>0</v>
      </c>
      <c r="GR337" s="429">
        <v>1</v>
      </c>
      <c r="GS337" s="429">
        <v>2</v>
      </c>
      <c r="GT337" s="432">
        <f>Monitoring!C337</f>
        <v>0</v>
      </c>
      <c r="GU337" s="432">
        <f>Reference!$C337</f>
        <v>0</v>
      </c>
      <c r="GV337" s="429">
        <f>Reference!$D337</f>
        <v>0</v>
      </c>
      <c r="GW337" s="440">
        <f t="shared" si="77"/>
        <v>0</v>
      </c>
      <c r="GX337" s="440">
        <f t="shared" si="77"/>
        <v>0</v>
      </c>
      <c r="GY337" s="440">
        <f t="shared" si="77"/>
        <v>0</v>
      </c>
      <c r="GZ337" s="440">
        <f t="shared" si="77"/>
        <v>0</v>
      </c>
      <c r="HA337" s="440"/>
      <c r="HB337" s="440"/>
      <c r="HC337" s="440"/>
      <c r="HD337" s="440"/>
      <c r="HE337" s="429">
        <f t="shared" si="68"/>
        <v>313</v>
      </c>
      <c r="HF337" s="429">
        <f>SUM(GW337*Baseline!$P$24,GX337*Baseline!$P$25,GY337*Baseline!$P$26,GZ337*Baseline!$P$27,HA337*Baseline!$P$28,HB337*Baseline!$P$29,HC337*Baseline!$P$30,HD337*Baseline!$P$31,Baseline!$P$23)</f>
        <v>626.18362874044828</v>
      </c>
      <c r="HG337" s="455" t="e">
        <f t="shared" si="69"/>
        <v>#DIV/0!</v>
      </c>
      <c r="HH337" s="429" t="e">
        <f>IF(HG337&lt;=Baseline!$J$13,1,0)</f>
        <v>#DIV/0!</v>
      </c>
      <c r="HI337" s="429">
        <f t="shared" si="70"/>
        <v>392105.93690255558</v>
      </c>
      <c r="HJ337" s="429">
        <f t="shared" si="65"/>
        <v>48910903.069173105</v>
      </c>
      <c r="HK337" s="429">
        <f t="shared" si="66"/>
        <v>58061606.033611111</v>
      </c>
      <c r="HL337" s="429" t="str">
        <f>IF(HM337=Reference!$I$12,(HF337-GV337),"")</f>
        <v/>
      </c>
      <c r="HM337" s="429" t="str">
        <f>Reference!I337</f>
        <v/>
      </c>
      <c r="HN337" s="429" t="str">
        <f t="shared" si="71"/>
        <v/>
      </c>
    </row>
    <row r="338" spans="189:222" ht="17.25" customHeight="1" x14ac:dyDescent="0.35">
      <c r="GG338" s="432"/>
      <c r="GJ338" s="429" t="str">
        <f>IF(GK338=$GJ$15,$GJ$15,IF(GJ$24=HF$4,SUM(GK$25:GK338),SUM(GL$25:GL338)))</f>
        <v>N</v>
      </c>
      <c r="GK338" s="438" t="str">
        <f>IFERROR('!!'!G338-'!!'!D338,$GJ$15)</f>
        <v>N</v>
      </c>
      <c r="GL338" s="429" t="str">
        <f t="shared" si="67"/>
        <v>N</v>
      </c>
      <c r="GM338" s="438">
        <f>IFERROR(('!!'!$D338)*('!!'!W338/('!!'!$G338)),0)</f>
        <v>0</v>
      </c>
      <c r="GN338" s="438">
        <f>IFERROR(('!!'!$D338)*('!!'!X338/('!!'!$G338)),0)</f>
        <v>0</v>
      </c>
      <c r="GO338" s="438">
        <f>IFERROR(('!!'!$D338)*('!!'!Y338/('!!'!$G338)),0)</f>
        <v>0</v>
      </c>
      <c r="GP338" s="438">
        <f>IFERROR(('!!'!$D338)*('!!'!Z337/('!!'!$G338)),0)</f>
        <v>0</v>
      </c>
      <c r="GQ338" s="438">
        <f>IFERROR(('!!'!$D338)*('!!'!Q338/('!!'!$G338)),0)</f>
        <v>0</v>
      </c>
      <c r="GR338" s="429">
        <v>1</v>
      </c>
      <c r="GS338" s="429">
        <v>2</v>
      </c>
      <c r="GT338" s="432">
        <f>Monitoring!C338</f>
        <v>0</v>
      </c>
      <c r="GU338" s="432">
        <f>Reference!$C338</f>
        <v>0</v>
      </c>
      <c r="GV338" s="429">
        <f>Reference!$D338</f>
        <v>0</v>
      </c>
      <c r="GW338" s="440">
        <f t="shared" si="77"/>
        <v>0</v>
      </c>
      <c r="GX338" s="440">
        <f t="shared" si="77"/>
        <v>0</v>
      </c>
      <c r="GY338" s="440">
        <f t="shared" si="77"/>
        <v>0</v>
      </c>
      <c r="GZ338" s="440">
        <f t="shared" si="77"/>
        <v>0</v>
      </c>
      <c r="HA338" s="440"/>
      <c r="HB338" s="440"/>
      <c r="HC338" s="440"/>
      <c r="HD338" s="440"/>
      <c r="HE338" s="429">
        <f t="shared" si="68"/>
        <v>314</v>
      </c>
      <c r="HF338" s="429">
        <f>SUM(GW338*Baseline!$P$24,GX338*Baseline!$P$25,GY338*Baseline!$P$26,GZ338*Baseline!$P$27,HA338*Baseline!$P$28,HB338*Baseline!$P$29,HC338*Baseline!$P$30,HD338*Baseline!$P$31,Baseline!$P$23)</f>
        <v>626.18362874044828</v>
      </c>
      <c r="HG338" s="455" t="e">
        <f t="shared" si="69"/>
        <v>#DIV/0!</v>
      </c>
      <c r="HH338" s="429" t="e">
        <f>IF(HG338&lt;=Baseline!$J$13,1,0)</f>
        <v>#DIV/0!</v>
      </c>
      <c r="HI338" s="429">
        <f t="shared" si="70"/>
        <v>392105.93690255558</v>
      </c>
      <c r="HJ338" s="429">
        <f t="shared" si="65"/>
        <v>48910903.069173105</v>
      </c>
      <c r="HK338" s="429">
        <f t="shared" si="66"/>
        <v>58061606.033611111</v>
      </c>
      <c r="HL338" s="429" t="str">
        <f>IF(HM338=Reference!$I$12,(HF338-GV338),"")</f>
        <v/>
      </c>
      <c r="HM338" s="429" t="str">
        <f>Reference!I338</f>
        <v/>
      </c>
      <c r="HN338" s="429" t="str">
        <f t="shared" si="71"/>
        <v/>
      </c>
    </row>
    <row r="339" spans="189:222" ht="17.25" customHeight="1" x14ac:dyDescent="0.35">
      <c r="GG339" s="432"/>
      <c r="GJ339" s="429" t="str">
        <f>IF(GK339=$GJ$15,$GJ$15,IF(GJ$24=HF$4,SUM(GK$25:GK339),SUM(GL$25:GL339)))</f>
        <v>N</v>
      </c>
      <c r="GK339" s="438" t="str">
        <f>IFERROR('!!'!G339-'!!'!D339,$GJ$15)</f>
        <v>N</v>
      </c>
      <c r="GL339" s="429" t="str">
        <f t="shared" si="67"/>
        <v>N</v>
      </c>
      <c r="GM339" s="438">
        <f>IFERROR(('!!'!$D339)*('!!'!W339/('!!'!$G339)),0)</f>
        <v>0</v>
      </c>
      <c r="GN339" s="438">
        <f>IFERROR(('!!'!$D339)*('!!'!X339/('!!'!$G339)),0)</f>
        <v>0</v>
      </c>
      <c r="GO339" s="438">
        <f>IFERROR(('!!'!$D339)*('!!'!Y339/('!!'!$G339)),0)</f>
        <v>0</v>
      </c>
      <c r="GP339" s="438">
        <f>IFERROR(('!!'!$D339)*('!!'!Z338/('!!'!$G339)),0)</f>
        <v>0</v>
      </c>
      <c r="GQ339" s="438">
        <f>IFERROR(('!!'!$D339)*('!!'!Q339/('!!'!$G339)),0)</f>
        <v>0</v>
      </c>
      <c r="GR339" s="429">
        <v>1</v>
      </c>
      <c r="GS339" s="429">
        <v>2</v>
      </c>
      <c r="GT339" s="432">
        <f>Monitoring!C339</f>
        <v>0</v>
      </c>
      <c r="GU339" s="432">
        <f>Reference!$C339</f>
        <v>0</v>
      </c>
      <c r="GV339" s="429">
        <f>Reference!$D339</f>
        <v>0</v>
      </c>
      <c r="GW339" s="440">
        <f t="shared" si="77"/>
        <v>0</v>
      </c>
      <c r="GX339" s="440">
        <f t="shared" si="77"/>
        <v>0</v>
      </c>
      <c r="GY339" s="440">
        <f t="shared" si="77"/>
        <v>0</v>
      </c>
      <c r="GZ339" s="440">
        <f t="shared" si="77"/>
        <v>0</v>
      </c>
      <c r="HA339" s="440"/>
      <c r="HB339" s="440"/>
      <c r="HC339" s="440"/>
      <c r="HD339" s="440"/>
      <c r="HE339" s="429">
        <f t="shared" si="68"/>
        <v>315</v>
      </c>
      <c r="HF339" s="429">
        <f>SUM(GW339*Baseline!$P$24,GX339*Baseline!$P$25,GY339*Baseline!$P$26,GZ339*Baseline!$P$27,HA339*Baseline!$P$28,HB339*Baseline!$P$29,HC339*Baseline!$P$30,HD339*Baseline!$P$31,Baseline!$P$23)</f>
        <v>626.18362874044828</v>
      </c>
      <c r="HG339" s="455" t="e">
        <f t="shared" si="69"/>
        <v>#DIV/0!</v>
      </c>
      <c r="HH339" s="429" t="e">
        <f>IF(HG339&lt;=Baseline!$J$13,1,0)</f>
        <v>#DIV/0!</v>
      </c>
      <c r="HI339" s="429">
        <f t="shared" si="70"/>
        <v>392105.93690255558</v>
      </c>
      <c r="HJ339" s="429">
        <f t="shared" si="65"/>
        <v>48910903.069173105</v>
      </c>
      <c r="HK339" s="429">
        <f t="shared" si="66"/>
        <v>58061606.033611111</v>
      </c>
      <c r="HL339" s="429" t="str">
        <f>IF(HM339=Reference!$I$12,(HF339-GV339),"")</f>
        <v/>
      </c>
      <c r="HM339" s="429" t="str">
        <f>Reference!I339</f>
        <v/>
      </c>
      <c r="HN339" s="429" t="str">
        <f t="shared" si="71"/>
        <v/>
      </c>
    </row>
    <row r="340" spans="189:222" ht="17.25" customHeight="1" x14ac:dyDescent="0.35">
      <c r="GG340" s="432"/>
      <c r="GJ340" s="429" t="str">
        <f>IF(GK340=$GJ$15,$GJ$15,IF(GJ$24=HF$4,SUM(GK$25:GK340),SUM(GL$25:GL340)))</f>
        <v>N</v>
      </c>
      <c r="GK340" s="438" t="str">
        <f>IFERROR('!!'!G340-'!!'!D340,$GJ$15)</f>
        <v>N</v>
      </c>
      <c r="GL340" s="429" t="str">
        <f t="shared" si="67"/>
        <v>N</v>
      </c>
      <c r="GM340" s="438">
        <f>IFERROR(('!!'!$D340)*('!!'!W340/('!!'!$G340)),0)</f>
        <v>0</v>
      </c>
      <c r="GN340" s="438">
        <f>IFERROR(('!!'!$D340)*('!!'!X340/('!!'!$G340)),0)</f>
        <v>0</v>
      </c>
      <c r="GO340" s="438">
        <f>IFERROR(('!!'!$D340)*('!!'!Y340/('!!'!$G340)),0)</f>
        <v>0</v>
      </c>
      <c r="GP340" s="438">
        <f>IFERROR(('!!'!$D340)*('!!'!Z339/('!!'!$G340)),0)</f>
        <v>0</v>
      </c>
      <c r="GQ340" s="438">
        <f>IFERROR(('!!'!$D340)*('!!'!Q340/('!!'!$G340)),0)</f>
        <v>0</v>
      </c>
      <c r="GR340" s="429">
        <v>1</v>
      </c>
      <c r="GS340" s="429">
        <v>2</v>
      </c>
      <c r="GT340" s="432">
        <f>Monitoring!C340</f>
        <v>0</v>
      </c>
      <c r="GU340" s="432">
        <f>Reference!$C340</f>
        <v>0</v>
      </c>
      <c r="GV340" s="429">
        <f>Reference!$D340</f>
        <v>0</v>
      </c>
      <c r="GW340" s="440">
        <f t="shared" si="77"/>
        <v>0</v>
      </c>
      <c r="GX340" s="440">
        <f t="shared" si="77"/>
        <v>0</v>
      </c>
      <c r="GY340" s="440">
        <f t="shared" si="77"/>
        <v>0</v>
      </c>
      <c r="GZ340" s="440">
        <f t="shared" si="77"/>
        <v>0</v>
      </c>
      <c r="HA340" s="440"/>
      <c r="HB340" s="440"/>
      <c r="HC340" s="440"/>
      <c r="HD340" s="440"/>
      <c r="HE340" s="429">
        <f t="shared" si="68"/>
        <v>316</v>
      </c>
      <c r="HF340" s="429">
        <f>SUM(GW340*Baseline!$P$24,GX340*Baseline!$P$25,GY340*Baseline!$P$26,GZ340*Baseline!$P$27,HA340*Baseline!$P$28,HB340*Baseline!$P$29,HC340*Baseline!$P$30,HD340*Baseline!$P$31,Baseline!$P$23)</f>
        <v>626.18362874044828</v>
      </c>
      <c r="HG340" s="455" t="e">
        <f t="shared" si="69"/>
        <v>#DIV/0!</v>
      </c>
      <c r="HH340" s="429" t="e">
        <f>IF(HG340&lt;=Baseline!$J$13,1,0)</f>
        <v>#DIV/0!</v>
      </c>
      <c r="HI340" s="429">
        <f t="shared" si="70"/>
        <v>392105.93690255558</v>
      </c>
      <c r="HJ340" s="429">
        <f t="shared" si="65"/>
        <v>48910903.069173105</v>
      </c>
      <c r="HK340" s="429">
        <f t="shared" si="66"/>
        <v>58061606.033611111</v>
      </c>
      <c r="HL340" s="429" t="str">
        <f>IF(HM340=Reference!$I$12,(HF340-GV340),"")</f>
        <v/>
      </c>
      <c r="HM340" s="429" t="str">
        <f>Reference!I340</f>
        <v/>
      </c>
      <c r="HN340" s="429" t="str">
        <f t="shared" si="71"/>
        <v/>
      </c>
    </row>
    <row r="341" spans="189:222" ht="17.25" customHeight="1" x14ac:dyDescent="0.35">
      <c r="GG341" s="432"/>
      <c r="GJ341" s="429" t="str">
        <f>IF(GK341=$GJ$15,$GJ$15,IF(GJ$24=HF$4,SUM(GK$25:GK341),SUM(GL$25:GL341)))</f>
        <v>N</v>
      </c>
      <c r="GK341" s="438" t="str">
        <f>IFERROR('!!'!G341-'!!'!D341,$GJ$15)</f>
        <v>N</v>
      </c>
      <c r="GL341" s="429" t="str">
        <f t="shared" si="67"/>
        <v>N</v>
      </c>
      <c r="GM341" s="438">
        <f>IFERROR(('!!'!$D341)*('!!'!W341/('!!'!$G341)),0)</f>
        <v>0</v>
      </c>
      <c r="GN341" s="438">
        <f>IFERROR(('!!'!$D341)*('!!'!X341/('!!'!$G341)),0)</f>
        <v>0</v>
      </c>
      <c r="GO341" s="438">
        <f>IFERROR(('!!'!$D341)*('!!'!Y341/('!!'!$G341)),0)</f>
        <v>0</v>
      </c>
      <c r="GP341" s="438">
        <f>IFERROR(('!!'!$D341)*('!!'!Z340/('!!'!$G341)),0)</f>
        <v>0</v>
      </c>
      <c r="GQ341" s="438">
        <f>IFERROR(('!!'!$D341)*('!!'!Q341/('!!'!$G341)),0)</f>
        <v>0</v>
      </c>
      <c r="GR341" s="429">
        <v>1</v>
      </c>
      <c r="GS341" s="429">
        <v>2</v>
      </c>
      <c r="GT341" s="432">
        <f>Monitoring!C341</f>
        <v>0</v>
      </c>
      <c r="GU341" s="432">
        <f>Reference!$C341</f>
        <v>0</v>
      </c>
      <c r="GV341" s="429">
        <f>Reference!$D341</f>
        <v>0</v>
      </c>
      <c r="GW341" s="440">
        <f t="shared" si="77"/>
        <v>0</v>
      </c>
      <c r="GX341" s="440">
        <f t="shared" si="77"/>
        <v>0</v>
      </c>
      <c r="GY341" s="440">
        <f t="shared" si="77"/>
        <v>0</v>
      </c>
      <c r="GZ341" s="440">
        <f t="shared" si="77"/>
        <v>0</v>
      </c>
      <c r="HA341" s="440"/>
      <c r="HB341" s="440"/>
      <c r="HC341" s="440"/>
      <c r="HD341" s="440"/>
      <c r="HE341" s="429">
        <f t="shared" si="68"/>
        <v>317</v>
      </c>
      <c r="HF341" s="429">
        <f>SUM(GW341*Baseline!$P$24,GX341*Baseline!$P$25,GY341*Baseline!$P$26,GZ341*Baseline!$P$27,HA341*Baseline!$P$28,HB341*Baseline!$P$29,HC341*Baseline!$P$30,HD341*Baseline!$P$31,Baseline!$P$23)</f>
        <v>626.18362874044828</v>
      </c>
      <c r="HG341" s="455" t="e">
        <f t="shared" si="69"/>
        <v>#DIV/0!</v>
      </c>
      <c r="HH341" s="429" t="e">
        <f>IF(HG341&lt;=Baseline!$J$13,1,0)</f>
        <v>#DIV/0!</v>
      </c>
      <c r="HI341" s="429">
        <f t="shared" si="70"/>
        <v>392105.93690255558</v>
      </c>
      <c r="HJ341" s="429">
        <f t="shared" si="65"/>
        <v>48910903.069173105</v>
      </c>
      <c r="HK341" s="429">
        <f t="shared" si="66"/>
        <v>58061606.033611111</v>
      </c>
      <c r="HL341" s="429" t="str">
        <f>IF(HM341=Reference!$I$12,(HF341-GV341),"")</f>
        <v/>
      </c>
      <c r="HM341" s="429" t="str">
        <f>Reference!I341</f>
        <v/>
      </c>
      <c r="HN341" s="429" t="str">
        <f t="shared" si="71"/>
        <v/>
      </c>
    </row>
    <row r="342" spans="189:222" ht="17.25" customHeight="1" x14ac:dyDescent="0.35">
      <c r="GG342" s="432"/>
      <c r="GJ342" s="429" t="str">
        <f>IF(GK342=$GJ$15,$GJ$15,IF(GJ$24=HF$4,SUM(GK$25:GK342),SUM(GL$25:GL342)))</f>
        <v>N</v>
      </c>
      <c r="GK342" s="438" t="str">
        <f>IFERROR('!!'!G342-'!!'!D342,$GJ$15)</f>
        <v>N</v>
      </c>
      <c r="GL342" s="429" t="str">
        <f t="shared" si="67"/>
        <v>N</v>
      </c>
      <c r="GM342" s="438">
        <f>IFERROR(('!!'!$D342)*('!!'!W342/('!!'!$G342)),0)</f>
        <v>0</v>
      </c>
      <c r="GN342" s="438">
        <f>IFERROR(('!!'!$D342)*('!!'!X342/('!!'!$G342)),0)</f>
        <v>0</v>
      </c>
      <c r="GO342" s="438">
        <f>IFERROR(('!!'!$D342)*('!!'!Y342/('!!'!$G342)),0)</f>
        <v>0</v>
      </c>
      <c r="GP342" s="438">
        <f>IFERROR(('!!'!$D342)*('!!'!Z341/('!!'!$G342)),0)</f>
        <v>0</v>
      </c>
      <c r="GQ342" s="438">
        <f>IFERROR(('!!'!$D342)*('!!'!Q342/('!!'!$G342)),0)</f>
        <v>0</v>
      </c>
      <c r="GR342" s="429">
        <v>1</v>
      </c>
      <c r="GS342" s="429">
        <v>2</v>
      </c>
      <c r="GT342" s="432">
        <f>Monitoring!C342</f>
        <v>0</v>
      </c>
      <c r="GU342" s="432">
        <f>Reference!$C342</f>
        <v>0</v>
      </c>
      <c r="GV342" s="429">
        <f>Reference!$D342</f>
        <v>0</v>
      </c>
      <c r="GW342" s="440">
        <f t="shared" si="77"/>
        <v>0</v>
      </c>
      <c r="GX342" s="440">
        <f t="shared" si="77"/>
        <v>0</v>
      </c>
      <c r="GY342" s="440">
        <f t="shared" si="77"/>
        <v>0</v>
      </c>
      <c r="GZ342" s="440">
        <f t="shared" si="77"/>
        <v>0</v>
      </c>
      <c r="HA342" s="440"/>
      <c r="HB342" s="440"/>
      <c r="HC342" s="440"/>
      <c r="HD342" s="440"/>
      <c r="HE342" s="429">
        <f t="shared" si="68"/>
        <v>318</v>
      </c>
      <c r="HF342" s="429">
        <f>SUM(GW342*Baseline!$P$24,GX342*Baseline!$P$25,GY342*Baseline!$P$26,GZ342*Baseline!$P$27,HA342*Baseline!$P$28,HB342*Baseline!$P$29,HC342*Baseline!$P$30,HD342*Baseline!$P$31,Baseline!$P$23)</f>
        <v>626.18362874044828</v>
      </c>
      <c r="HG342" s="455" t="e">
        <f t="shared" si="69"/>
        <v>#DIV/0!</v>
      </c>
      <c r="HH342" s="429" t="e">
        <f>IF(HG342&lt;=Baseline!$J$13,1,0)</f>
        <v>#DIV/0!</v>
      </c>
      <c r="HI342" s="429">
        <f t="shared" si="70"/>
        <v>392105.93690255558</v>
      </c>
      <c r="HJ342" s="429">
        <f t="shared" si="65"/>
        <v>48910903.069173105</v>
      </c>
      <c r="HK342" s="429">
        <f t="shared" si="66"/>
        <v>58061606.033611111</v>
      </c>
      <c r="HL342" s="429" t="str">
        <f>IF(HM342=Reference!$I$12,(HF342-GV342),"")</f>
        <v/>
      </c>
      <c r="HM342" s="429" t="str">
        <f>Reference!I342</f>
        <v/>
      </c>
      <c r="HN342" s="429" t="str">
        <f t="shared" si="71"/>
        <v/>
      </c>
    </row>
    <row r="343" spans="189:222" ht="17.25" customHeight="1" x14ac:dyDescent="0.35">
      <c r="GG343" s="432"/>
      <c r="GJ343" s="429" t="str">
        <f>IF(GK343=$GJ$15,$GJ$15,IF(GJ$24=HF$4,SUM(GK$25:GK343),SUM(GL$25:GL343)))</f>
        <v>N</v>
      </c>
      <c r="GK343" s="438" t="str">
        <f>IFERROR('!!'!G343-'!!'!D343,$GJ$15)</f>
        <v>N</v>
      </c>
      <c r="GL343" s="429" t="str">
        <f t="shared" si="67"/>
        <v>N</v>
      </c>
      <c r="GM343" s="438">
        <f>IFERROR(('!!'!$D343)*('!!'!W343/('!!'!$G343)),0)</f>
        <v>0</v>
      </c>
      <c r="GN343" s="438">
        <f>IFERROR(('!!'!$D343)*('!!'!X343/('!!'!$G343)),0)</f>
        <v>0</v>
      </c>
      <c r="GO343" s="438">
        <f>IFERROR(('!!'!$D343)*('!!'!Y343/('!!'!$G343)),0)</f>
        <v>0</v>
      </c>
      <c r="GP343" s="438">
        <f>IFERROR(('!!'!$D343)*('!!'!Z342/('!!'!$G343)),0)</f>
        <v>0</v>
      </c>
      <c r="GQ343" s="438">
        <f>IFERROR(('!!'!$D343)*('!!'!Q343/('!!'!$G343)),0)</f>
        <v>0</v>
      </c>
      <c r="GR343" s="429">
        <v>1</v>
      </c>
      <c r="GS343" s="429">
        <v>2</v>
      </c>
      <c r="GT343" s="432">
        <f>Monitoring!C343</f>
        <v>0</v>
      </c>
      <c r="GU343" s="432">
        <f>Reference!$C343</f>
        <v>0</v>
      </c>
      <c r="GV343" s="429">
        <f>Reference!$D343</f>
        <v>0</v>
      </c>
      <c r="GW343" s="440">
        <f t="shared" si="77"/>
        <v>0</v>
      </c>
      <c r="GX343" s="440">
        <f t="shared" si="77"/>
        <v>0</v>
      </c>
      <c r="GY343" s="440">
        <f t="shared" si="77"/>
        <v>0</v>
      </c>
      <c r="GZ343" s="440">
        <f t="shared" si="77"/>
        <v>0</v>
      </c>
      <c r="HA343" s="440"/>
      <c r="HB343" s="440"/>
      <c r="HC343" s="440"/>
      <c r="HD343" s="440"/>
      <c r="HE343" s="429">
        <f t="shared" si="68"/>
        <v>319</v>
      </c>
      <c r="HF343" s="429">
        <f>SUM(GW343*Baseline!$P$24,GX343*Baseline!$P$25,GY343*Baseline!$P$26,GZ343*Baseline!$P$27,HA343*Baseline!$P$28,HB343*Baseline!$P$29,HC343*Baseline!$P$30,HD343*Baseline!$P$31,Baseline!$P$23)</f>
        <v>626.18362874044828</v>
      </c>
      <c r="HG343" s="455" t="e">
        <f t="shared" si="69"/>
        <v>#DIV/0!</v>
      </c>
      <c r="HH343" s="429" t="e">
        <f>IF(HG343&lt;=Baseline!$J$13,1,0)</f>
        <v>#DIV/0!</v>
      </c>
      <c r="HI343" s="429">
        <f t="shared" si="70"/>
        <v>392105.93690255558</v>
      </c>
      <c r="HJ343" s="429">
        <f t="shared" si="65"/>
        <v>48910903.069173105</v>
      </c>
      <c r="HK343" s="429">
        <f t="shared" si="66"/>
        <v>58061606.033611111</v>
      </c>
      <c r="HL343" s="429" t="str">
        <f>IF(HM343=Reference!$I$12,(HF343-GV343),"")</f>
        <v/>
      </c>
      <c r="HM343" s="429" t="str">
        <f>Reference!I343</f>
        <v/>
      </c>
      <c r="HN343" s="429" t="str">
        <f t="shared" si="71"/>
        <v/>
      </c>
    </row>
    <row r="344" spans="189:222" ht="17.25" customHeight="1" x14ac:dyDescent="0.35">
      <c r="GG344" s="432"/>
      <c r="GJ344" s="429" t="str">
        <f>IF(GK344=$GJ$15,$GJ$15,IF(GJ$24=HF$4,SUM(GK$25:GK344),SUM(GL$25:GL344)))</f>
        <v>N</v>
      </c>
      <c r="GK344" s="438" t="str">
        <f>IFERROR('!!'!G344-'!!'!D344,$GJ$15)</f>
        <v>N</v>
      </c>
      <c r="GL344" s="429" t="str">
        <f t="shared" si="67"/>
        <v>N</v>
      </c>
      <c r="GM344" s="438">
        <f>IFERROR(('!!'!$D344)*('!!'!W344/('!!'!$G344)),0)</f>
        <v>0</v>
      </c>
      <c r="GN344" s="438">
        <f>IFERROR(('!!'!$D344)*('!!'!X344/('!!'!$G344)),0)</f>
        <v>0</v>
      </c>
      <c r="GO344" s="438">
        <f>IFERROR(('!!'!$D344)*('!!'!Y344/('!!'!$G344)),0)</f>
        <v>0</v>
      </c>
      <c r="GP344" s="438">
        <f>IFERROR(('!!'!$D344)*('!!'!Z343/('!!'!$G344)),0)</f>
        <v>0</v>
      </c>
      <c r="GQ344" s="438">
        <f>IFERROR(('!!'!$D344)*('!!'!Q344/('!!'!$G344)),0)</f>
        <v>0</v>
      </c>
      <c r="GR344" s="429">
        <v>1</v>
      </c>
      <c r="GS344" s="429">
        <v>2</v>
      </c>
      <c r="GT344" s="432">
        <f>Monitoring!C344</f>
        <v>0</v>
      </c>
      <c r="GU344" s="432">
        <f>Reference!$C344</f>
        <v>0</v>
      </c>
      <c r="GV344" s="429">
        <f>Reference!$D344</f>
        <v>0</v>
      </c>
      <c r="GW344" s="440">
        <f t="shared" si="77"/>
        <v>0</v>
      </c>
      <c r="GX344" s="440">
        <f t="shared" si="77"/>
        <v>0</v>
      </c>
      <c r="GY344" s="440">
        <f t="shared" si="77"/>
        <v>0</v>
      </c>
      <c r="GZ344" s="440">
        <f t="shared" si="77"/>
        <v>0</v>
      </c>
      <c r="HA344" s="440"/>
      <c r="HB344" s="440"/>
      <c r="HC344" s="440"/>
      <c r="HD344" s="440"/>
      <c r="HE344" s="429">
        <f t="shared" si="68"/>
        <v>320</v>
      </c>
      <c r="HF344" s="429">
        <f>SUM(GW344*Baseline!$P$24,GX344*Baseline!$P$25,GY344*Baseline!$P$26,GZ344*Baseline!$P$27,HA344*Baseline!$P$28,HB344*Baseline!$P$29,HC344*Baseline!$P$30,HD344*Baseline!$P$31,Baseline!$P$23)</f>
        <v>626.18362874044828</v>
      </c>
      <c r="HG344" s="455" t="e">
        <f t="shared" si="69"/>
        <v>#DIV/0!</v>
      </c>
      <c r="HH344" s="429" t="e">
        <f>IF(HG344&lt;=Baseline!$J$13,1,0)</f>
        <v>#DIV/0!</v>
      </c>
      <c r="HI344" s="429">
        <f t="shared" si="70"/>
        <v>392105.93690255558</v>
      </c>
      <c r="HJ344" s="429">
        <f t="shared" si="65"/>
        <v>48910903.069173105</v>
      </c>
      <c r="HK344" s="429">
        <f t="shared" si="66"/>
        <v>58061606.033611111</v>
      </c>
      <c r="HL344" s="429" t="str">
        <f>IF(HM344=Reference!$I$12,(HF344-GV344),"")</f>
        <v/>
      </c>
      <c r="HM344" s="429" t="str">
        <f>Reference!I344</f>
        <v/>
      </c>
      <c r="HN344" s="429" t="str">
        <f t="shared" si="71"/>
        <v/>
      </c>
    </row>
    <row r="345" spans="189:222" ht="17.25" customHeight="1" x14ac:dyDescent="0.35">
      <c r="GG345" s="432"/>
      <c r="GJ345" s="429" t="str">
        <f>IF(GK345=$GJ$15,$GJ$15,IF(GJ$24=HF$4,SUM(GK$25:GK345),SUM(GL$25:GL345)))</f>
        <v>N</v>
      </c>
      <c r="GK345" s="438" t="str">
        <f>IFERROR('!!'!G345-'!!'!D345,$GJ$15)</f>
        <v>N</v>
      </c>
      <c r="GL345" s="429" t="str">
        <f t="shared" si="67"/>
        <v>N</v>
      </c>
      <c r="GM345" s="438">
        <f>IFERROR(('!!'!$D345)*('!!'!W345/('!!'!$G345)),0)</f>
        <v>0</v>
      </c>
      <c r="GN345" s="438">
        <f>IFERROR(('!!'!$D345)*('!!'!X345/('!!'!$G345)),0)</f>
        <v>0</v>
      </c>
      <c r="GO345" s="438">
        <f>IFERROR(('!!'!$D345)*('!!'!Y345/('!!'!$G345)),0)</f>
        <v>0</v>
      </c>
      <c r="GP345" s="438">
        <f>IFERROR(('!!'!$D345)*('!!'!Z344/('!!'!$G345)),0)</f>
        <v>0</v>
      </c>
      <c r="GQ345" s="438">
        <f>IFERROR(('!!'!$D345)*('!!'!Q345/('!!'!$G345)),0)</f>
        <v>0</v>
      </c>
      <c r="GR345" s="429">
        <v>1</v>
      </c>
      <c r="GS345" s="429">
        <v>2</v>
      </c>
      <c r="GT345" s="432">
        <f>Monitoring!C345</f>
        <v>0</v>
      </c>
      <c r="GU345" s="432">
        <f>Reference!$C345</f>
        <v>0</v>
      </c>
      <c r="GV345" s="429">
        <f>Reference!$D345</f>
        <v>0</v>
      </c>
      <c r="GW345" s="440">
        <f t="shared" ref="GW345:GZ354" si="78">IFERROR(VLOOKUP($GU345,Daten.B,GW$22,FALSE)^GW$23,0)</f>
        <v>0</v>
      </c>
      <c r="GX345" s="440">
        <f t="shared" si="78"/>
        <v>0</v>
      </c>
      <c r="GY345" s="440">
        <f t="shared" si="78"/>
        <v>0</v>
      </c>
      <c r="GZ345" s="440">
        <f t="shared" si="78"/>
        <v>0</v>
      </c>
      <c r="HA345" s="440"/>
      <c r="HB345" s="440"/>
      <c r="HC345" s="440"/>
      <c r="HD345" s="440"/>
      <c r="HE345" s="429">
        <f t="shared" si="68"/>
        <v>321</v>
      </c>
      <c r="HF345" s="429">
        <f>SUM(GW345*Baseline!$P$24,GX345*Baseline!$P$25,GY345*Baseline!$P$26,GZ345*Baseline!$P$27,HA345*Baseline!$P$28,HB345*Baseline!$P$29,HC345*Baseline!$P$30,HD345*Baseline!$P$31,Baseline!$P$23)</f>
        <v>626.18362874044828</v>
      </c>
      <c r="HG345" s="455" t="e">
        <f t="shared" si="69"/>
        <v>#DIV/0!</v>
      </c>
      <c r="HH345" s="429" t="e">
        <f>IF(HG345&lt;=Baseline!$J$13,1,0)</f>
        <v>#DIV/0!</v>
      </c>
      <c r="HI345" s="429">
        <f t="shared" si="70"/>
        <v>392105.93690255558</v>
      </c>
      <c r="HJ345" s="429">
        <f t="shared" ref="HJ345:HJ390" si="79">(HF345-$HG$17)^2</f>
        <v>48910903.069173105</v>
      </c>
      <c r="HK345" s="429">
        <f t="shared" ref="HK345:HK390" si="80">(GV345-$HG$17)^2</f>
        <v>58061606.033611111</v>
      </c>
      <c r="HL345" s="429" t="str">
        <f>IF(HM345=Reference!$I$12,(HF345-GV345),"")</f>
        <v/>
      </c>
      <c r="HM345" s="429" t="str">
        <f>Reference!I345</f>
        <v/>
      </c>
      <c r="HN345" s="429" t="str">
        <f t="shared" si="71"/>
        <v/>
      </c>
    </row>
    <row r="346" spans="189:222" ht="17.25" customHeight="1" x14ac:dyDescent="0.35">
      <c r="GG346" s="432"/>
      <c r="GJ346" s="429" t="str">
        <f>IF(GK346=$GJ$15,$GJ$15,IF(GJ$24=HF$4,SUM(GK$25:GK346),SUM(GL$25:GL346)))</f>
        <v>N</v>
      </c>
      <c r="GK346" s="438" t="str">
        <f>IFERROR('!!'!G346-'!!'!D346,$GJ$15)</f>
        <v>N</v>
      </c>
      <c r="GL346" s="429" t="str">
        <f t="shared" ref="GL346:GL390" si="81">IFERROR(GK346^2^(1/2),"N")</f>
        <v>N</v>
      </c>
      <c r="GM346" s="438">
        <f>IFERROR(('!!'!$D346)*('!!'!W346/('!!'!$G346)),0)</f>
        <v>0</v>
      </c>
      <c r="GN346" s="438">
        <f>IFERROR(('!!'!$D346)*('!!'!X346/('!!'!$G346)),0)</f>
        <v>0</v>
      </c>
      <c r="GO346" s="438">
        <f>IFERROR(('!!'!$D346)*('!!'!Y346/('!!'!$G346)),0)</f>
        <v>0</v>
      </c>
      <c r="GP346" s="438">
        <f>IFERROR(('!!'!$D346)*('!!'!Z345/('!!'!$G346)),0)</f>
        <v>0</v>
      </c>
      <c r="GQ346" s="438">
        <f>IFERROR(('!!'!$D346)*('!!'!Q346/('!!'!$G346)),0)</f>
        <v>0</v>
      </c>
      <c r="GR346" s="429">
        <v>1</v>
      </c>
      <c r="GS346" s="429">
        <v>2</v>
      </c>
      <c r="GT346" s="432">
        <f>Monitoring!C346</f>
        <v>0</v>
      </c>
      <c r="GU346" s="432">
        <f>Reference!$C346</f>
        <v>0</v>
      </c>
      <c r="GV346" s="429">
        <f>Reference!$D346</f>
        <v>0</v>
      </c>
      <c r="GW346" s="440">
        <f t="shared" si="78"/>
        <v>0</v>
      </c>
      <c r="GX346" s="440">
        <f t="shared" si="78"/>
        <v>0</v>
      </c>
      <c r="GY346" s="440">
        <f t="shared" si="78"/>
        <v>0</v>
      </c>
      <c r="GZ346" s="440">
        <f t="shared" si="78"/>
        <v>0</v>
      </c>
      <c r="HA346" s="440"/>
      <c r="HB346" s="440"/>
      <c r="HC346" s="440"/>
      <c r="HD346" s="440"/>
      <c r="HE346" s="429">
        <f t="shared" ref="HE346:HE390" si="82">ROW(HE346)-$HE$24</f>
        <v>322</v>
      </c>
      <c r="HF346" s="429">
        <f>SUM(GW346*Baseline!$P$24,GX346*Baseline!$P$25,GY346*Baseline!$P$26,GZ346*Baseline!$P$27,HA346*Baseline!$P$28,HB346*Baseline!$P$29,HC346*Baseline!$P$30,HD346*Baseline!$P$31,Baseline!$P$23)</f>
        <v>626.18362874044828</v>
      </c>
      <c r="HG346" s="455" t="e">
        <f t="shared" ref="HG346:HG390" si="83">IF(HF346=0,#N/A,ABS((GV346-HF346)/GV346))</f>
        <v>#DIV/0!</v>
      </c>
      <c r="HH346" s="429" t="e">
        <f>IF(HG346&lt;=Baseline!$J$13,1,0)</f>
        <v>#DIV/0!</v>
      </c>
      <c r="HI346" s="429">
        <f t="shared" ref="HI346:HI390" si="84">(GV346-HF346)^2</f>
        <v>392105.93690255558</v>
      </c>
      <c r="HJ346" s="429">
        <f t="shared" si="79"/>
        <v>48910903.069173105</v>
      </c>
      <c r="HK346" s="429">
        <f t="shared" si="80"/>
        <v>58061606.033611111</v>
      </c>
      <c r="HL346" s="429" t="str">
        <f>IF(HM346=Reference!$I$12,(HF346-GV346),"")</f>
        <v/>
      </c>
      <c r="HM346" s="429" t="str">
        <f>Reference!I346</f>
        <v/>
      </c>
      <c r="HN346" s="429" t="str">
        <f t="shared" ref="HN346:HN390" si="85">IFERROR(HL346-0.00001*$HQ$20,"")</f>
        <v/>
      </c>
    </row>
    <row r="347" spans="189:222" ht="17.25" customHeight="1" x14ac:dyDescent="0.35">
      <c r="GG347" s="432"/>
      <c r="GJ347" s="429" t="str">
        <f>IF(GK347=$GJ$15,$GJ$15,IF(GJ$24=HF$4,SUM(GK$25:GK347),SUM(GL$25:GL347)))</f>
        <v>N</v>
      </c>
      <c r="GK347" s="438" t="str">
        <f>IFERROR('!!'!G347-'!!'!D347,$GJ$15)</f>
        <v>N</v>
      </c>
      <c r="GL347" s="429" t="str">
        <f t="shared" si="81"/>
        <v>N</v>
      </c>
      <c r="GM347" s="438">
        <f>IFERROR(('!!'!$D347)*('!!'!W347/('!!'!$G347)),0)</f>
        <v>0</v>
      </c>
      <c r="GN347" s="438">
        <f>IFERROR(('!!'!$D347)*('!!'!X347/('!!'!$G347)),0)</f>
        <v>0</v>
      </c>
      <c r="GO347" s="438">
        <f>IFERROR(('!!'!$D347)*('!!'!Y347/('!!'!$G347)),0)</f>
        <v>0</v>
      </c>
      <c r="GP347" s="438">
        <f>IFERROR(('!!'!$D347)*('!!'!Z346/('!!'!$G347)),0)</f>
        <v>0</v>
      </c>
      <c r="GQ347" s="438">
        <f>IFERROR(('!!'!$D347)*('!!'!Q347/('!!'!$G347)),0)</f>
        <v>0</v>
      </c>
      <c r="GR347" s="429">
        <v>1</v>
      </c>
      <c r="GS347" s="429">
        <v>2</v>
      </c>
      <c r="GT347" s="432">
        <f>Monitoring!C347</f>
        <v>0</v>
      </c>
      <c r="GU347" s="432">
        <f>Reference!$C347</f>
        <v>0</v>
      </c>
      <c r="GV347" s="429">
        <f>Reference!$D347</f>
        <v>0</v>
      </c>
      <c r="GW347" s="440">
        <f t="shared" si="78"/>
        <v>0</v>
      </c>
      <c r="GX347" s="440">
        <f t="shared" si="78"/>
        <v>0</v>
      </c>
      <c r="GY347" s="440">
        <f t="shared" si="78"/>
        <v>0</v>
      </c>
      <c r="GZ347" s="440">
        <f t="shared" si="78"/>
        <v>0</v>
      </c>
      <c r="HA347" s="440"/>
      <c r="HB347" s="440"/>
      <c r="HC347" s="440"/>
      <c r="HD347" s="440"/>
      <c r="HE347" s="429">
        <f t="shared" si="82"/>
        <v>323</v>
      </c>
      <c r="HF347" s="429">
        <f>SUM(GW347*Baseline!$P$24,GX347*Baseline!$P$25,GY347*Baseline!$P$26,GZ347*Baseline!$P$27,HA347*Baseline!$P$28,HB347*Baseline!$P$29,HC347*Baseline!$P$30,HD347*Baseline!$P$31,Baseline!$P$23)</f>
        <v>626.18362874044828</v>
      </c>
      <c r="HG347" s="455" t="e">
        <f t="shared" si="83"/>
        <v>#DIV/0!</v>
      </c>
      <c r="HH347" s="429" t="e">
        <f>IF(HG347&lt;=Baseline!$J$13,1,0)</f>
        <v>#DIV/0!</v>
      </c>
      <c r="HI347" s="429">
        <f t="shared" si="84"/>
        <v>392105.93690255558</v>
      </c>
      <c r="HJ347" s="429">
        <f t="shared" si="79"/>
        <v>48910903.069173105</v>
      </c>
      <c r="HK347" s="429">
        <f t="shared" si="80"/>
        <v>58061606.033611111</v>
      </c>
      <c r="HL347" s="429" t="str">
        <f>IF(HM347=Reference!$I$12,(HF347-GV347),"")</f>
        <v/>
      </c>
      <c r="HM347" s="429" t="str">
        <f>Reference!I347</f>
        <v/>
      </c>
      <c r="HN347" s="429" t="str">
        <f t="shared" si="85"/>
        <v/>
      </c>
    </row>
    <row r="348" spans="189:222" ht="17.25" customHeight="1" x14ac:dyDescent="0.35">
      <c r="GG348" s="432"/>
      <c r="GJ348" s="429" t="str">
        <f>IF(GK348=$GJ$15,$GJ$15,IF(GJ$24=HF$4,SUM(GK$25:GK348),SUM(GL$25:GL348)))</f>
        <v>N</v>
      </c>
      <c r="GK348" s="438" t="str">
        <f>IFERROR('!!'!G348-'!!'!D348,$GJ$15)</f>
        <v>N</v>
      </c>
      <c r="GL348" s="429" t="str">
        <f t="shared" si="81"/>
        <v>N</v>
      </c>
      <c r="GM348" s="438">
        <f>IFERROR(('!!'!$D348)*('!!'!W348/('!!'!$G348)),0)</f>
        <v>0</v>
      </c>
      <c r="GN348" s="438">
        <f>IFERROR(('!!'!$D348)*('!!'!X348/('!!'!$G348)),0)</f>
        <v>0</v>
      </c>
      <c r="GO348" s="438">
        <f>IFERROR(('!!'!$D348)*('!!'!Y348/('!!'!$G348)),0)</f>
        <v>0</v>
      </c>
      <c r="GP348" s="438">
        <f>IFERROR(('!!'!$D348)*('!!'!Z347/('!!'!$G348)),0)</f>
        <v>0</v>
      </c>
      <c r="GQ348" s="438">
        <f>IFERROR(('!!'!$D348)*('!!'!Q348/('!!'!$G348)),0)</f>
        <v>0</v>
      </c>
      <c r="GR348" s="429">
        <v>1</v>
      </c>
      <c r="GS348" s="429">
        <v>2</v>
      </c>
      <c r="GT348" s="432">
        <f>Monitoring!C348</f>
        <v>0</v>
      </c>
      <c r="GU348" s="432">
        <f>Reference!$C348</f>
        <v>0</v>
      </c>
      <c r="GV348" s="429">
        <f>Reference!$D348</f>
        <v>0</v>
      </c>
      <c r="GW348" s="440">
        <f t="shared" si="78"/>
        <v>0</v>
      </c>
      <c r="GX348" s="440">
        <f t="shared" si="78"/>
        <v>0</v>
      </c>
      <c r="GY348" s="440">
        <f t="shared" si="78"/>
        <v>0</v>
      </c>
      <c r="GZ348" s="440">
        <f t="shared" si="78"/>
        <v>0</v>
      </c>
      <c r="HA348" s="440"/>
      <c r="HB348" s="440"/>
      <c r="HC348" s="440"/>
      <c r="HD348" s="440"/>
      <c r="HE348" s="429">
        <f t="shared" si="82"/>
        <v>324</v>
      </c>
      <c r="HF348" s="429">
        <f>SUM(GW348*Baseline!$P$24,GX348*Baseline!$P$25,GY348*Baseline!$P$26,GZ348*Baseline!$P$27,HA348*Baseline!$P$28,HB348*Baseline!$P$29,HC348*Baseline!$P$30,HD348*Baseline!$P$31,Baseline!$P$23)</f>
        <v>626.18362874044828</v>
      </c>
      <c r="HG348" s="455" t="e">
        <f t="shared" si="83"/>
        <v>#DIV/0!</v>
      </c>
      <c r="HH348" s="429" t="e">
        <f>IF(HG348&lt;=Baseline!$J$13,1,0)</f>
        <v>#DIV/0!</v>
      </c>
      <c r="HI348" s="429">
        <f t="shared" si="84"/>
        <v>392105.93690255558</v>
      </c>
      <c r="HJ348" s="429">
        <f t="shared" si="79"/>
        <v>48910903.069173105</v>
      </c>
      <c r="HK348" s="429">
        <f t="shared" si="80"/>
        <v>58061606.033611111</v>
      </c>
      <c r="HL348" s="429" t="str">
        <f>IF(HM348=Reference!$I$12,(HF348-GV348),"")</f>
        <v/>
      </c>
      <c r="HM348" s="429" t="str">
        <f>Reference!I348</f>
        <v/>
      </c>
      <c r="HN348" s="429" t="str">
        <f t="shared" si="85"/>
        <v/>
      </c>
    </row>
    <row r="349" spans="189:222" ht="17.25" customHeight="1" x14ac:dyDescent="0.35">
      <c r="GG349" s="432"/>
      <c r="GJ349" s="429" t="str">
        <f>IF(GK349=$GJ$15,$GJ$15,IF(GJ$24=HF$4,SUM(GK$25:GK349),SUM(GL$25:GL349)))</f>
        <v>N</v>
      </c>
      <c r="GK349" s="438" t="str">
        <f>IFERROR('!!'!G349-'!!'!D349,$GJ$15)</f>
        <v>N</v>
      </c>
      <c r="GL349" s="429" t="str">
        <f t="shared" si="81"/>
        <v>N</v>
      </c>
      <c r="GM349" s="438">
        <f>IFERROR(('!!'!$D349)*('!!'!W349/('!!'!$G349)),0)</f>
        <v>0</v>
      </c>
      <c r="GN349" s="438">
        <f>IFERROR(('!!'!$D349)*('!!'!X349/('!!'!$G349)),0)</f>
        <v>0</v>
      </c>
      <c r="GO349" s="438">
        <f>IFERROR(('!!'!$D349)*('!!'!Y349/('!!'!$G349)),0)</f>
        <v>0</v>
      </c>
      <c r="GP349" s="438">
        <f>IFERROR(('!!'!$D349)*('!!'!Z348/('!!'!$G349)),0)</f>
        <v>0</v>
      </c>
      <c r="GQ349" s="438">
        <f>IFERROR(('!!'!$D349)*('!!'!Q349/('!!'!$G349)),0)</f>
        <v>0</v>
      </c>
      <c r="GR349" s="429">
        <v>1</v>
      </c>
      <c r="GS349" s="429">
        <v>2</v>
      </c>
      <c r="GT349" s="432">
        <f>Monitoring!C349</f>
        <v>0</v>
      </c>
      <c r="GU349" s="432">
        <f>Reference!$C349</f>
        <v>0</v>
      </c>
      <c r="GV349" s="429">
        <f>Reference!$D349</f>
        <v>0</v>
      </c>
      <c r="GW349" s="440">
        <f t="shared" si="78"/>
        <v>0</v>
      </c>
      <c r="GX349" s="440">
        <f t="shared" si="78"/>
        <v>0</v>
      </c>
      <c r="GY349" s="440">
        <f t="shared" si="78"/>
        <v>0</v>
      </c>
      <c r="GZ349" s="440">
        <f t="shared" si="78"/>
        <v>0</v>
      </c>
      <c r="HA349" s="440"/>
      <c r="HB349" s="440"/>
      <c r="HC349" s="440"/>
      <c r="HD349" s="440"/>
      <c r="HE349" s="429">
        <f t="shared" si="82"/>
        <v>325</v>
      </c>
      <c r="HF349" s="429">
        <f>SUM(GW349*Baseline!$P$24,GX349*Baseline!$P$25,GY349*Baseline!$P$26,GZ349*Baseline!$P$27,HA349*Baseline!$P$28,HB349*Baseline!$P$29,HC349*Baseline!$P$30,HD349*Baseline!$P$31,Baseline!$P$23)</f>
        <v>626.18362874044828</v>
      </c>
      <c r="HG349" s="455" t="e">
        <f t="shared" si="83"/>
        <v>#DIV/0!</v>
      </c>
      <c r="HH349" s="429" t="e">
        <f>IF(HG349&lt;=Baseline!$J$13,1,0)</f>
        <v>#DIV/0!</v>
      </c>
      <c r="HI349" s="429">
        <f t="shared" si="84"/>
        <v>392105.93690255558</v>
      </c>
      <c r="HJ349" s="429">
        <f t="shared" si="79"/>
        <v>48910903.069173105</v>
      </c>
      <c r="HK349" s="429">
        <f t="shared" si="80"/>
        <v>58061606.033611111</v>
      </c>
      <c r="HL349" s="429" t="str">
        <f>IF(HM349=Reference!$I$12,(HF349-GV349),"")</f>
        <v/>
      </c>
      <c r="HM349" s="429" t="str">
        <f>Reference!I349</f>
        <v/>
      </c>
      <c r="HN349" s="429" t="str">
        <f t="shared" si="85"/>
        <v/>
      </c>
    </row>
    <row r="350" spans="189:222" ht="17.25" customHeight="1" x14ac:dyDescent="0.35">
      <c r="GG350" s="432"/>
      <c r="GJ350" s="429" t="str">
        <f>IF(GK350=$GJ$15,$GJ$15,IF(GJ$24=HF$4,SUM(GK$25:GK350),SUM(GL$25:GL350)))</f>
        <v>N</v>
      </c>
      <c r="GK350" s="438" t="str">
        <f>IFERROR('!!'!G350-'!!'!D350,$GJ$15)</f>
        <v>N</v>
      </c>
      <c r="GL350" s="429" t="str">
        <f t="shared" si="81"/>
        <v>N</v>
      </c>
      <c r="GM350" s="438">
        <f>IFERROR(('!!'!$D350)*('!!'!W350/('!!'!$G350)),0)</f>
        <v>0</v>
      </c>
      <c r="GN350" s="438">
        <f>IFERROR(('!!'!$D350)*('!!'!X350/('!!'!$G350)),0)</f>
        <v>0</v>
      </c>
      <c r="GO350" s="438">
        <f>IFERROR(('!!'!$D350)*('!!'!Y350/('!!'!$G350)),0)</f>
        <v>0</v>
      </c>
      <c r="GP350" s="438">
        <f>IFERROR(('!!'!$D350)*('!!'!Z349/('!!'!$G350)),0)</f>
        <v>0</v>
      </c>
      <c r="GQ350" s="438">
        <f>IFERROR(('!!'!$D350)*('!!'!Q350/('!!'!$G350)),0)</f>
        <v>0</v>
      </c>
      <c r="GR350" s="429">
        <v>1</v>
      </c>
      <c r="GS350" s="429">
        <v>2</v>
      </c>
      <c r="GT350" s="432">
        <f>Monitoring!C350</f>
        <v>0</v>
      </c>
      <c r="GU350" s="432">
        <f>Reference!$C350</f>
        <v>0</v>
      </c>
      <c r="GV350" s="429">
        <f>Reference!$D350</f>
        <v>0</v>
      </c>
      <c r="GW350" s="440">
        <f t="shared" si="78"/>
        <v>0</v>
      </c>
      <c r="GX350" s="440">
        <f t="shared" si="78"/>
        <v>0</v>
      </c>
      <c r="GY350" s="440">
        <f t="shared" si="78"/>
        <v>0</v>
      </c>
      <c r="GZ350" s="440">
        <f t="shared" si="78"/>
        <v>0</v>
      </c>
      <c r="HA350" s="440"/>
      <c r="HB350" s="440"/>
      <c r="HC350" s="440"/>
      <c r="HD350" s="440"/>
      <c r="HE350" s="429">
        <f t="shared" si="82"/>
        <v>326</v>
      </c>
      <c r="HF350" s="429">
        <f>SUM(GW350*Baseline!$P$24,GX350*Baseline!$P$25,GY350*Baseline!$P$26,GZ350*Baseline!$P$27,HA350*Baseline!$P$28,HB350*Baseline!$P$29,HC350*Baseline!$P$30,HD350*Baseline!$P$31,Baseline!$P$23)</f>
        <v>626.18362874044828</v>
      </c>
      <c r="HG350" s="455" t="e">
        <f t="shared" si="83"/>
        <v>#DIV/0!</v>
      </c>
      <c r="HH350" s="429" t="e">
        <f>IF(HG350&lt;=Baseline!$J$13,1,0)</f>
        <v>#DIV/0!</v>
      </c>
      <c r="HI350" s="429">
        <f t="shared" si="84"/>
        <v>392105.93690255558</v>
      </c>
      <c r="HJ350" s="429">
        <f t="shared" si="79"/>
        <v>48910903.069173105</v>
      </c>
      <c r="HK350" s="429">
        <f t="shared" si="80"/>
        <v>58061606.033611111</v>
      </c>
      <c r="HL350" s="429" t="str">
        <f>IF(HM350=Reference!$I$12,(HF350-GV350),"")</f>
        <v/>
      </c>
      <c r="HM350" s="429" t="str">
        <f>Reference!I350</f>
        <v/>
      </c>
      <c r="HN350" s="429" t="str">
        <f t="shared" si="85"/>
        <v/>
      </c>
    </row>
    <row r="351" spans="189:222" ht="17.25" customHeight="1" x14ac:dyDescent="0.35">
      <c r="GG351" s="432"/>
      <c r="GJ351" s="429" t="str">
        <f>IF(GK351=$GJ$15,$GJ$15,IF(GJ$24=HF$4,SUM(GK$25:GK351),SUM(GL$25:GL351)))</f>
        <v>N</v>
      </c>
      <c r="GK351" s="438" t="str">
        <f>IFERROR('!!'!G351-'!!'!D351,$GJ$15)</f>
        <v>N</v>
      </c>
      <c r="GL351" s="429" t="str">
        <f t="shared" si="81"/>
        <v>N</v>
      </c>
      <c r="GM351" s="438">
        <f>IFERROR(('!!'!$D351)*('!!'!W351/('!!'!$G351)),0)</f>
        <v>0</v>
      </c>
      <c r="GN351" s="438">
        <f>IFERROR(('!!'!$D351)*('!!'!X351/('!!'!$G351)),0)</f>
        <v>0</v>
      </c>
      <c r="GO351" s="438">
        <f>IFERROR(('!!'!$D351)*('!!'!Y351/('!!'!$G351)),0)</f>
        <v>0</v>
      </c>
      <c r="GP351" s="438">
        <f>IFERROR(('!!'!$D351)*('!!'!Z350/('!!'!$G351)),0)</f>
        <v>0</v>
      </c>
      <c r="GQ351" s="438">
        <f>IFERROR(('!!'!$D351)*('!!'!Q351/('!!'!$G351)),0)</f>
        <v>0</v>
      </c>
      <c r="GR351" s="429">
        <v>1</v>
      </c>
      <c r="GS351" s="429">
        <v>2</v>
      </c>
      <c r="GT351" s="432">
        <f>Monitoring!C351</f>
        <v>0</v>
      </c>
      <c r="GU351" s="432">
        <f>Reference!$C351</f>
        <v>0</v>
      </c>
      <c r="GV351" s="429">
        <f>Reference!$D351</f>
        <v>0</v>
      </c>
      <c r="GW351" s="440">
        <f t="shared" si="78"/>
        <v>0</v>
      </c>
      <c r="GX351" s="440">
        <f t="shared" si="78"/>
        <v>0</v>
      </c>
      <c r="GY351" s="440">
        <f t="shared" si="78"/>
        <v>0</v>
      </c>
      <c r="GZ351" s="440">
        <f t="shared" si="78"/>
        <v>0</v>
      </c>
      <c r="HA351" s="440"/>
      <c r="HB351" s="440"/>
      <c r="HC351" s="440"/>
      <c r="HD351" s="440"/>
      <c r="HE351" s="429">
        <f t="shared" si="82"/>
        <v>327</v>
      </c>
      <c r="HF351" s="429">
        <f>SUM(GW351*Baseline!$P$24,GX351*Baseline!$P$25,GY351*Baseline!$P$26,GZ351*Baseline!$P$27,HA351*Baseline!$P$28,HB351*Baseline!$P$29,HC351*Baseline!$P$30,HD351*Baseline!$P$31,Baseline!$P$23)</f>
        <v>626.18362874044828</v>
      </c>
      <c r="HG351" s="455" t="e">
        <f t="shared" si="83"/>
        <v>#DIV/0!</v>
      </c>
      <c r="HH351" s="429" t="e">
        <f>IF(HG351&lt;=Baseline!$J$13,1,0)</f>
        <v>#DIV/0!</v>
      </c>
      <c r="HI351" s="429">
        <f t="shared" si="84"/>
        <v>392105.93690255558</v>
      </c>
      <c r="HJ351" s="429">
        <f t="shared" si="79"/>
        <v>48910903.069173105</v>
      </c>
      <c r="HK351" s="429">
        <f t="shared" si="80"/>
        <v>58061606.033611111</v>
      </c>
      <c r="HL351" s="429" t="str">
        <f>IF(HM351=Reference!$I$12,(HF351-GV351),"")</f>
        <v/>
      </c>
      <c r="HM351" s="429" t="str">
        <f>Reference!I351</f>
        <v/>
      </c>
      <c r="HN351" s="429" t="str">
        <f t="shared" si="85"/>
        <v/>
      </c>
    </row>
    <row r="352" spans="189:222" ht="17.25" customHeight="1" x14ac:dyDescent="0.35">
      <c r="GG352" s="432"/>
      <c r="GJ352" s="429" t="str">
        <f>IF(GK352=$GJ$15,$GJ$15,IF(GJ$24=HF$4,SUM(GK$25:GK352),SUM(GL$25:GL352)))</f>
        <v>N</v>
      </c>
      <c r="GK352" s="438" t="str">
        <f>IFERROR('!!'!G352-'!!'!D352,$GJ$15)</f>
        <v>N</v>
      </c>
      <c r="GL352" s="429" t="str">
        <f t="shared" si="81"/>
        <v>N</v>
      </c>
      <c r="GM352" s="438">
        <f>IFERROR(('!!'!$D352)*('!!'!W352/('!!'!$G352)),0)</f>
        <v>0</v>
      </c>
      <c r="GN352" s="438">
        <f>IFERROR(('!!'!$D352)*('!!'!X352/('!!'!$G352)),0)</f>
        <v>0</v>
      </c>
      <c r="GO352" s="438">
        <f>IFERROR(('!!'!$D352)*('!!'!Y352/('!!'!$G352)),0)</f>
        <v>0</v>
      </c>
      <c r="GP352" s="438">
        <f>IFERROR(('!!'!$D352)*('!!'!Z351/('!!'!$G352)),0)</f>
        <v>0</v>
      </c>
      <c r="GQ352" s="438">
        <f>IFERROR(('!!'!$D352)*('!!'!Q352/('!!'!$G352)),0)</f>
        <v>0</v>
      </c>
      <c r="GR352" s="429">
        <v>1</v>
      </c>
      <c r="GS352" s="429">
        <v>2</v>
      </c>
      <c r="GT352" s="432">
        <f>Monitoring!C352</f>
        <v>0</v>
      </c>
      <c r="GU352" s="432">
        <f>Reference!$C352</f>
        <v>0</v>
      </c>
      <c r="GV352" s="429">
        <f>Reference!$D352</f>
        <v>0</v>
      </c>
      <c r="GW352" s="440">
        <f t="shared" si="78"/>
        <v>0</v>
      </c>
      <c r="GX352" s="440">
        <f t="shared" si="78"/>
        <v>0</v>
      </c>
      <c r="GY352" s="440">
        <f t="shared" si="78"/>
        <v>0</v>
      </c>
      <c r="GZ352" s="440">
        <f t="shared" si="78"/>
        <v>0</v>
      </c>
      <c r="HA352" s="440"/>
      <c r="HB352" s="440"/>
      <c r="HC352" s="440"/>
      <c r="HD352" s="440"/>
      <c r="HE352" s="429">
        <f t="shared" si="82"/>
        <v>328</v>
      </c>
      <c r="HF352" s="429">
        <f>SUM(GW352*Baseline!$P$24,GX352*Baseline!$P$25,GY352*Baseline!$P$26,GZ352*Baseline!$P$27,HA352*Baseline!$P$28,HB352*Baseline!$P$29,HC352*Baseline!$P$30,HD352*Baseline!$P$31,Baseline!$P$23)</f>
        <v>626.18362874044828</v>
      </c>
      <c r="HG352" s="455" t="e">
        <f t="shared" si="83"/>
        <v>#DIV/0!</v>
      </c>
      <c r="HH352" s="429" t="e">
        <f>IF(HG352&lt;=Baseline!$J$13,1,0)</f>
        <v>#DIV/0!</v>
      </c>
      <c r="HI352" s="429">
        <f t="shared" si="84"/>
        <v>392105.93690255558</v>
      </c>
      <c r="HJ352" s="429">
        <f t="shared" si="79"/>
        <v>48910903.069173105</v>
      </c>
      <c r="HK352" s="429">
        <f t="shared" si="80"/>
        <v>58061606.033611111</v>
      </c>
      <c r="HL352" s="429" t="str">
        <f>IF(HM352=Reference!$I$12,(HF352-GV352),"")</f>
        <v/>
      </c>
      <c r="HM352" s="429" t="str">
        <f>Reference!I352</f>
        <v/>
      </c>
      <c r="HN352" s="429" t="str">
        <f t="shared" si="85"/>
        <v/>
      </c>
    </row>
    <row r="353" spans="189:222" ht="17.25" customHeight="1" x14ac:dyDescent="0.35">
      <c r="GG353" s="432"/>
      <c r="GJ353" s="429" t="str">
        <f>IF(GK353=$GJ$15,$GJ$15,IF(GJ$24=HF$4,SUM(GK$25:GK353),SUM(GL$25:GL353)))</f>
        <v>N</v>
      </c>
      <c r="GK353" s="438" t="str">
        <f>IFERROR('!!'!G353-'!!'!D353,$GJ$15)</f>
        <v>N</v>
      </c>
      <c r="GL353" s="429" t="str">
        <f t="shared" si="81"/>
        <v>N</v>
      </c>
      <c r="GM353" s="438">
        <f>IFERROR(('!!'!$D353)*('!!'!W353/('!!'!$G353)),0)</f>
        <v>0</v>
      </c>
      <c r="GN353" s="438">
        <f>IFERROR(('!!'!$D353)*('!!'!X353/('!!'!$G353)),0)</f>
        <v>0</v>
      </c>
      <c r="GO353" s="438">
        <f>IFERROR(('!!'!$D353)*('!!'!Y353/('!!'!$G353)),0)</f>
        <v>0</v>
      </c>
      <c r="GP353" s="438">
        <f>IFERROR(('!!'!$D353)*('!!'!Z352/('!!'!$G353)),0)</f>
        <v>0</v>
      </c>
      <c r="GQ353" s="438">
        <f>IFERROR(('!!'!$D353)*('!!'!Q353/('!!'!$G353)),0)</f>
        <v>0</v>
      </c>
      <c r="GR353" s="429">
        <v>1</v>
      </c>
      <c r="GS353" s="429">
        <v>2</v>
      </c>
      <c r="GT353" s="432">
        <f>Monitoring!C353</f>
        <v>0</v>
      </c>
      <c r="GU353" s="432">
        <f>Reference!$C353</f>
        <v>0</v>
      </c>
      <c r="GV353" s="429">
        <f>Reference!$D353</f>
        <v>0</v>
      </c>
      <c r="GW353" s="440">
        <f t="shared" si="78"/>
        <v>0</v>
      </c>
      <c r="GX353" s="440">
        <f t="shared" si="78"/>
        <v>0</v>
      </c>
      <c r="GY353" s="440">
        <f t="shared" si="78"/>
        <v>0</v>
      </c>
      <c r="GZ353" s="440">
        <f t="shared" si="78"/>
        <v>0</v>
      </c>
      <c r="HA353" s="440"/>
      <c r="HB353" s="440"/>
      <c r="HC353" s="440"/>
      <c r="HD353" s="440"/>
      <c r="HE353" s="429">
        <f t="shared" si="82"/>
        <v>329</v>
      </c>
      <c r="HF353" s="429">
        <f>SUM(GW353*Baseline!$P$24,GX353*Baseline!$P$25,GY353*Baseline!$P$26,GZ353*Baseline!$P$27,HA353*Baseline!$P$28,HB353*Baseline!$P$29,HC353*Baseline!$P$30,HD353*Baseline!$P$31,Baseline!$P$23)</f>
        <v>626.18362874044828</v>
      </c>
      <c r="HG353" s="455" t="e">
        <f t="shared" si="83"/>
        <v>#DIV/0!</v>
      </c>
      <c r="HH353" s="429" t="e">
        <f>IF(HG353&lt;=Baseline!$J$13,1,0)</f>
        <v>#DIV/0!</v>
      </c>
      <c r="HI353" s="429">
        <f t="shared" si="84"/>
        <v>392105.93690255558</v>
      </c>
      <c r="HJ353" s="429">
        <f t="shared" si="79"/>
        <v>48910903.069173105</v>
      </c>
      <c r="HK353" s="429">
        <f t="shared" si="80"/>
        <v>58061606.033611111</v>
      </c>
      <c r="HL353" s="429" t="str">
        <f>IF(HM353=Reference!$I$12,(HF353-GV353),"")</f>
        <v/>
      </c>
      <c r="HM353" s="429" t="str">
        <f>Reference!I353</f>
        <v/>
      </c>
      <c r="HN353" s="429" t="str">
        <f t="shared" si="85"/>
        <v/>
      </c>
    </row>
    <row r="354" spans="189:222" ht="17.25" customHeight="1" x14ac:dyDescent="0.35">
      <c r="GG354" s="432"/>
      <c r="GJ354" s="429" t="str">
        <f>IF(GK354=$GJ$15,$GJ$15,IF(GJ$24=HF$4,SUM(GK$25:GK354),SUM(GL$25:GL354)))</f>
        <v>N</v>
      </c>
      <c r="GK354" s="438" t="str">
        <f>IFERROR('!!'!G354-'!!'!D354,$GJ$15)</f>
        <v>N</v>
      </c>
      <c r="GL354" s="429" t="str">
        <f t="shared" si="81"/>
        <v>N</v>
      </c>
      <c r="GM354" s="438">
        <f>IFERROR(('!!'!$D354)*('!!'!W354/('!!'!$G354)),0)</f>
        <v>0</v>
      </c>
      <c r="GN354" s="438">
        <f>IFERROR(('!!'!$D354)*('!!'!X354/('!!'!$G354)),0)</f>
        <v>0</v>
      </c>
      <c r="GO354" s="438">
        <f>IFERROR(('!!'!$D354)*('!!'!Y354/('!!'!$G354)),0)</f>
        <v>0</v>
      </c>
      <c r="GP354" s="438">
        <f>IFERROR(('!!'!$D354)*('!!'!Z353/('!!'!$G354)),0)</f>
        <v>0</v>
      </c>
      <c r="GQ354" s="438">
        <f>IFERROR(('!!'!$D354)*('!!'!Q354/('!!'!$G354)),0)</f>
        <v>0</v>
      </c>
      <c r="GR354" s="429">
        <v>1</v>
      </c>
      <c r="GS354" s="429">
        <v>2</v>
      </c>
      <c r="GT354" s="432">
        <f>Monitoring!C354</f>
        <v>0</v>
      </c>
      <c r="GU354" s="432">
        <f>Reference!$C354</f>
        <v>0</v>
      </c>
      <c r="GV354" s="429">
        <f>Reference!$D354</f>
        <v>0</v>
      </c>
      <c r="GW354" s="440">
        <f t="shared" si="78"/>
        <v>0</v>
      </c>
      <c r="GX354" s="440">
        <f t="shared" si="78"/>
        <v>0</v>
      </c>
      <c r="GY354" s="440">
        <f t="shared" si="78"/>
        <v>0</v>
      </c>
      <c r="GZ354" s="440">
        <f t="shared" si="78"/>
        <v>0</v>
      </c>
      <c r="HA354" s="440"/>
      <c r="HB354" s="440"/>
      <c r="HC354" s="440"/>
      <c r="HD354" s="440"/>
      <c r="HE354" s="429">
        <f t="shared" si="82"/>
        <v>330</v>
      </c>
      <c r="HF354" s="429">
        <f>SUM(GW354*Baseline!$P$24,GX354*Baseline!$P$25,GY354*Baseline!$P$26,GZ354*Baseline!$P$27,HA354*Baseline!$P$28,HB354*Baseline!$P$29,HC354*Baseline!$P$30,HD354*Baseline!$P$31,Baseline!$P$23)</f>
        <v>626.18362874044828</v>
      </c>
      <c r="HG354" s="455" t="e">
        <f t="shared" si="83"/>
        <v>#DIV/0!</v>
      </c>
      <c r="HH354" s="429" t="e">
        <f>IF(HG354&lt;=Baseline!$J$13,1,0)</f>
        <v>#DIV/0!</v>
      </c>
      <c r="HI354" s="429">
        <f t="shared" si="84"/>
        <v>392105.93690255558</v>
      </c>
      <c r="HJ354" s="429">
        <f t="shared" si="79"/>
        <v>48910903.069173105</v>
      </c>
      <c r="HK354" s="429">
        <f t="shared" si="80"/>
        <v>58061606.033611111</v>
      </c>
      <c r="HL354" s="429" t="str">
        <f>IF(HM354=Reference!$I$12,(HF354-GV354),"")</f>
        <v/>
      </c>
      <c r="HM354" s="429" t="str">
        <f>Reference!I354</f>
        <v/>
      </c>
      <c r="HN354" s="429" t="str">
        <f t="shared" si="85"/>
        <v/>
      </c>
    </row>
    <row r="355" spans="189:222" ht="17.25" customHeight="1" x14ac:dyDescent="0.35">
      <c r="GG355" s="432"/>
      <c r="GJ355" s="429" t="str">
        <f>IF(GK355=$GJ$15,$GJ$15,IF(GJ$24=HF$4,SUM(GK$25:GK355),SUM(GL$25:GL355)))</f>
        <v>N</v>
      </c>
      <c r="GK355" s="438" t="str">
        <f>IFERROR('!!'!G355-'!!'!D355,$GJ$15)</f>
        <v>N</v>
      </c>
      <c r="GL355" s="429" t="str">
        <f t="shared" si="81"/>
        <v>N</v>
      </c>
      <c r="GM355" s="438">
        <f>IFERROR(('!!'!$D355)*('!!'!W355/('!!'!$G355)),0)</f>
        <v>0</v>
      </c>
      <c r="GN355" s="438">
        <f>IFERROR(('!!'!$D355)*('!!'!X355/('!!'!$G355)),0)</f>
        <v>0</v>
      </c>
      <c r="GO355" s="438">
        <f>IFERROR(('!!'!$D355)*('!!'!Y355/('!!'!$G355)),0)</f>
        <v>0</v>
      </c>
      <c r="GP355" s="438">
        <f>IFERROR(('!!'!$D355)*('!!'!Z354/('!!'!$G355)),0)</f>
        <v>0</v>
      </c>
      <c r="GQ355" s="438">
        <f>IFERROR(('!!'!$D355)*('!!'!Q355/('!!'!$G355)),0)</f>
        <v>0</v>
      </c>
      <c r="GR355" s="429">
        <v>1</v>
      </c>
      <c r="GS355" s="429">
        <v>2</v>
      </c>
      <c r="GT355" s="432">
        <f>Monitoring!C355</f>
        <v>0</v>
      </c>
      <c r="GU355" s="432">
        <f>Reference!$C355</f>
        <v>0</v>
      </c>
      <c r="GV355" s="429">
        <f>Reference!$D355</f>
        <v>0</v>
      </c>
      <c r="GW355" s="440">
        <f t="shared" ref="GW355:GZ364" si="86">IFERROR(VLOOKUP($GU355,Daten.B,GW$22,FALSE)^GW$23,0)</f>
        <v>0</v>
      </c>
      <c r="GX355" s="440">
        <f t="shared" si="86"/>
        <v>0</v>
      </c>
      <c r="GY355" s="440">
        <f t="shared" si="86"/>
        <v>0</v>
      </c>
      <c r="GZ355" s="440">
        <f t="shared" si="86"/>
        <v>0</v>
      </c>
      <c r="HA355" s="440"/>
      <c r="HB355" s="440"/>
      <c r="HC355" s="440"/>
      <c r="HD355" s="440"/>
      <c r="HE355" s="429">
        <f t="shared" si="82"/>
        <v>331</v>
      </c>
      <c r="HF355" s="429">
        <f>SUM(GW355*Baseline!$P$24,GX355*Baseline!$P$25,GY355*Baseline!$P$26,GZ355*Baseline!$P$27,HA355*Baseline!$P$28,HB355*Baseline!$P$29,HC355*Baseline!$P$30,HD355*Baseline!$P$31,Baseline!$P$23)</f>
        <v>626.18362874044828</v>
      </c>
      <c r="HG355" s="455" t="e">
        <f t="shared" si="83"/>
        <v>#DIV/0!</v>
      </c>
      <c r="HH355" s="429" t="e">
        <f>IF(HG355&lt;=Baseline!$J$13,1,0)</f>
        <v>#DIV/0!</v>
      </c>
      <c r="HI355" s="429">
        <f t="shared" si="84"/>
        <v>392105.93690255558</v>
      </c>
      <c r="HJ355" s="429">
        <f t="shared" si="79"/>
        <v>48910903.069173105</v>
      </c>
      <c r="HK355" s="429">
        <f t="shared" si="80"/>
        <v>58061606.033611111</v>
      </c>
      <c r="HL355" s="429" t="str">
        <f>IF(HM355=Reference!$I$12,(HF355-GV355),"")</f>
        <v/>
      </c>
      <c r="HM355" s="429" t="str">
        <f>Reference!I355</f>
        <v/>
      </c>
      <c r="HN355" s="429" t="str">
        <f t="shared" si="85"/>
        <v/>
      </c>
    </row>
    <row r="356" spans="189:222" ht="17.25" customHeight="1" x14ac:dyDescent="0.35">
      <c r="GG356" s="432"/>
      <c r="GJ356" s="429" t="str">
        <f>IF(GK356=$GJ$15,$GJ$15,IF(GJ$24=HF$4,SUM(GK$25:GK356),SUM(GL$25:GL356)))</f>
        <v>N</v>
      </c>
      <c r="GK356" s="438" t="str">
        <f>IFERROR('!!'!G356-'!!'!D356,$GJ$15)</f>
        <v>N</v>
      </c>
      <c r="GL356" s="429" t="str">
        <f t="shared" si="81"/>
        <v>N</v>
      </c>
      <c r="GM356" s="438">
        <f>IFERROR(('!!'!$D356)*('!!'!W356/('!!'!$G356)),0)</f>
        <v>0</v>
      </c>
      <c r="GN356" s="438">
        <f>IFERROR(('!!'!$D356)*('!!'!X356/('!!'!$G356)),0)</f>
        <v>0</v>
      </c>
      <c r="GO356" s="438">
        <f>IFERROR(('!!'!$D356)*('!!'!Y356/('!!'!$G356)),0)</f>
        <v>0</v>
      </c>
      <c r="GP356" s="438">
        <f>IFERROR(('!!'!$D356)*('!!'!Z355/('!!'!$G356)),0)</f>
        <v>0</v>
      </c>
      <c r="GQ356" s="438">
        <f>IFERROR(('!!'!$D356)*('!!'!Q356/('!!'!$G356)),0)</f>
        <v>0</v>
      </c>
      <c r="GR356" s="429">
        <v>1</v>
      </c>
      <c r="GS356" s="429">
        <v>2</v>
      </c>
      <c r="GT356" s="432">
        <f>Monitoring!C356</f>
        <v>0</v>
      </c>
      <c r="GU356" s="432">
        <f>Reference!$C356</f>
        <v>0</v>
      </c>
      <c r="GV356" s="429">
        <f>Reference!$D356</f>
        <v>0</v>
      </c>
      <c r="GW356" s="440">
        <f t="shared" si="86"/>
        <v>0</v>
      </c>
      <c r="GX356" s="440">
        <f t="shared" si="86"/>
        <v>0</v>
      </c>
      <c r="GY356" s="440">
        <f t="shared" si="86"/>
        <v>0</v>
      </c>
      <c r="GZ356" s="440">
        <f t="shared" si="86"/>
        <v>0</v>
      </c>
      <c r="HA356" s="440"/>
      <c r="HB356" s="440"/>
      <c r="HC356" s="440"/>
      <c r="HD356" s="440"/>
      <c r="HE356" s="429">
        <f t="shared" si="82"/>
        <v>332</v>
      </c>
      <c r="HF356" s="429">
        <f>SUM(GW356*Baseline!$P$24,GX356*Baseline!$P$25,GY356*Baseline!$P$26,GZ356*Baseline!$P$27,HA356*Baseline!$P$28,HB356*Baseline!$P$29,HC356*Baseline!$P$30,HD356*Baseline!$P$31,Baseline!$P$23)</f>
        <v>626.18362874044828</v>
      </c>
      <c r="HG356" s="455" t="e">
        <f t="shared" si="83"/>
        <v>#DIV/0!</v>
      </c>
      <c r="HH356" s="429" t="e">
        <f>IF(HG356&lt;=Baseline!$J$13,1,0)</f>
        <v>#DIV/0!</v>
      </c>
      <c r="HI356" s="429">
        <f t="shared" si="84"/>
        <v>392105.93690255558</v>
      </c>
      <c r="HJ356" s="429">
        <f t="shared" si="79"/>
        <v>48910903.069173105</v>
      </c>
      <c r="HK356" s="429">
        <f t="shared" si="80"/>
        <v>58061606.033611111</v>
      </c>
      <c r="HL356" s="429" t="str">
        <f>IF(HM356=Reference!$I$12,(HF356-GV356),"")</f>
        <v/>
      </c>
      <c r="HM356" s="429" t="str">
        <f>Reference!I356</f>
        <v/>
      </c>
      <c r="HN356" s="429" t="str">
        <f t="shared" si="85"/>
        <v/>
      </c>
    </row>
    <row r="357" spans="189:222" ht="17.25" customHeight="1" x14ac:dyDescent="0.35">
      <c r="GG357" s="432"/>
      <c r="GJ357" s="429" t="str">
        <f>IF(GK357=$GJ$15,$GJ$15,IF(GJ$24=HF$4,SUM(GK$25:GK357),SUM(GL$25:GL357)))</f>
        <v>N</v>
      </c>
      <c r="GK357" s="438" t="str">
        <f>IFERROR('!!'!G357-'!!'!D357,$GJ$15)</f>
        <v>N</v>
      </c>
      <c r="GL357" s="429" t="str">
        <f t="shared" si="81"/>
        <v>N</v>
      </c>
      <c r="GM357" s="438">
        <f>IFERROR(('!!'!$D357)*('!!'!W357/('!!'!$G357)),0)</f>
        <v>0</v>
      </c>
      <c r="GN357" s="438">
        <f>IFERROR(('!!'!$D357)*('!!'!X357/('!!'!$G357)),0)</f>
        <v>0</v>
      </c>
      <c r="GO357" s="438">
        <f>IFERROR(('!!'!$D357)*('!!'!Y357/('!!'!$G357)),0)</f>
        <v>0</v>
      </c>
      <c r="GP357" s="438">
        <f>IFERROR(('!!'!$D357)*('!!'!Z356/('!!'!$G357)),0)</f>
        <v>0</v>
      </c>
      <c r="GQ357" s="438">
        <f>IFERROR(('!!'!$D357)*('!!'!Q357/('!!'!$G357)),0)</f>
        <v>0</v>
      </c>
      <c r="GR357" s="429">
        <v>1</v>
      </c>
      <c r="GS357" s="429">
        <v>2</v>
      </c>
      <c r="GT357" s="432">
        <f>Monitoring!C357</f>
        <v>0</v>
      </c>
      <c r="GU357" s="432">
        <f>Reference!$C357</f>
        <v>0</v>
      </c>
      <c r="GV357" s="429">
        <f>Reference!$D357</f>
        <v>0</v>
      </c>
      <c r="GW357" s="440">
        <f t="shared" si="86"/>
        <v>0</v>
      </c>
      <c r="GX357" s="440">
        <f t="shared" si="86"/>
        <v>0</v>
      </c>
      <c r="GY357" s="440">
        <f t="shared" si="86"/>
        <v>0</v>
      </c>
      <c r="GZ357" s="440">
        <f t="shared" si="86"/>
        <v>0</v>
      </c>
      <c r="HA357" s="440"/>
      <c r="HB357" s="440"/>
      <c r="HC357" s="440"/>
      <c r="HD357" s="440"/>
      <c r="HE357" s="429">
        <f t="shared" si="82"/>
        <v>333</v>
      </c>
      <c r="HF357" s="429">
        <f>SUM(GW357*Baseline!$P$24,GX357*Baseline!$P$25,GY357*Baseline!$P$26,GZ357*Baseline!$P$27,HA357*Baseline!$P$28,HB357*Baseline!$P$29,HC357*Baseline!$P$30,HD357*Baseline!$P$31,Baseline!$P$23)</f>
        <v>626.18362874044828</v>
      </c>
      <c r="HG357" s="455" t="e">
        <f t="shared" si="83"/>
        <v>#DIV/0!</v>
      </c>
      <c r="HH357" s="429" t="e">
        <f>IF(HG357&lt;=Baseline!$J$13,1,0)</f>
        <v>#DIV/0!</v>
      </c>
      <c r="HI357" s="429">
        <f t="shared" si="84"/>
        <v>392105.93690255558</v>
      </c>
      <c r="HJ357" s="429">
        <f t="shared" si="79"/>
        <v>48910903.069173105</v>
      </c>
      <c r="HK357" s="429">
        <f t="shared" si="80"/>
        <v>58061606.033611111</v>
      </c>
      <c r="HL357" s="429" t="str">
        <f>IF(HM357=Reference!$I$12,(HF357-GV357),"")</f>
        <v/>
      </c>
      <c r="HM357" s="429" t="str">
        <f>Reference!I357</f>
        <v/>
      </c>
      <c r="HN357" s="429" t="str">
        <f t="shared" si="85"/>
        <v/>
      </c>
    </row>
    <row r="358" spans="189:222" ht="17.25" customHeight="1" x14ac:dyDescent="0.35">
      <c r="GG358" s="432"/>
      <c r="GJ358" s="429" t="str">
        <f>IF(GK358=$GJ$15,$GJ$15,IF(GJ$24=HF$4,SUM(GK$25:GK358),SUM(GL$25:GL358)))</f>
        <v>N</v>
      </c>
      <c r="GK358" s="438" t="str">
        <f>IFERROR('!!'!G358-'!!'!D358,$GJ$15)</f>
        <v>N</v>
      </c>
      <c r="GL358" s="429" t="str">
        <f t="shared" si="81"/>
        <v>N</v>
      </c>
      <c r="GM358" s="438">
        <f>IFERROR(('!!'!$D358)*('!!'!W358/('!!'!$G358)),0)</f>
        <v>0</v>
      </c>
      <c r="GN358" s="438">
        <f>IFERROR(('!!'!$D358)*('!!'!X358/('!!'!$G358)),0)</f>
        <v>0</v>
      </c>
      <c r="GO358" s="438">
        <f>IFERROR(('!!'!$D358)*('!!'!Y358/('!!'!$G358)),0)</f>
        <v>0</v>
      </c>
      <c r="GP358" s="438">
        <f>IFERROR(('!!'!$D358)*('!!'!Z357/('!!'!$G358)),0)</f>
        <v>0</v>
      </c>
      <c r="GQ358" s="438">
        <f>IFERROR(('!!'!$D358)*('!!'!Q358/('!!'!$G358)),0)</f>
        <v>0</v>
      </c>
      <c r="GR358" s="429">
        <v>1</v>
      </c>
      <c r="GS358" s="429">
        <v>2</v>
      </c>
      <c r="GT358" s="432">
        <f>Monitoring!C358</f>
        <v>0</v>
      </c>
      <c r="GU358" s="432">
        <f>Reference!$C358</f>
        <v>0</v>
      </c>
      <c r="GV358" s="429">
        <f>Reference!$D358</f>
        <v>0</v>
      </c>
      <c r="GW358" s="440">
        <f t="shared" si="86"/>
        <v>0</v>
      </c>
      <c r="GX358" s="440">
        <f t="shared" si="86"/>
        <v>0</v>
      </c>
      <c r="GY358" s="440">
        <f t="shared" si="86"/>
        <v>0</v>
      </c>
      <c r="GZ358" s="440">
        <f t="shared" si="86"/>
        <v>0</v>
      </c>
      <c r="HA358" s="440"/>
      <c r="HB358" s="440"/>
      <c r="HC358" s="440"/>
      <c r="HD358" s="440"/>
      <c r="HE358" s="429">
        <f t="shared" si="82"/>
        <v>334</v>
      </c>
      <c r="HF358" s="429">
        <f>SUM(GW358*Baseline!$P$24,GX358*Baseline!$P$25,GY358*Baseline!$P$26,GZ358*Baseline!$P$27,HA358*Baseline!$P$28,HB358*Baseline!$P$29,HC358*Baseline!$P$30,HD358*Baseline!$P$31,Baseline!$P$23)</f>
        <v>626.18362874044828</v>
      </c>
      <c r="HG358" s="455" t="e">
        <f t="shared" si="83"/>
        <v>#DIV/0!</v>
      </c>
      <c r="HH358" s="429" t="e">
        <f>IF(HG358&lt;=Baseline!$J$13,1,0)</f>
        <v>#DIV/0!</v>
      </c>
      <c r="HI358" s="429">
        <f t="shared" si="84"/>
        <v>392105.93690255558</v>
      </c>
      <c r="HJ358" s="429">
        <f t="shared" si="79"/>
        <v>48910903.069173105</v>
      </c>
      <c r="HK358" s="429">
        <f t="shared" si="80"/>
        <v>58061606.033611111</v>
      </c>
      <c r="HL358" s="429" t="str">
        <f>IF(HM358=Reference!$I$12,(HF358-GV358),"")</f>
        <v/>
      </c>
      <c r="HM358" s="429" t="str">
        <f>Reference!I358</f>
        <v/>
      </c>
      <c r="HN358" s="429" t="str">
        <f t="shared" si="85"/>
        <v/>
      </c>
    </row>
    <row r="359" spans="189:222" ht="17.25" customHeight="1" x14ac:dyDescent="0.35">
      <c r="GG359" s="432"/>
      <c r="GJ359" s="429" t="str">
        <f>IF(GK359=$GJ$15,$GJ$15,IF(GJ$24=HF$4,SUM(GK$25:GK359),SUM(GL$25:GL359)))</f>
        <v>N</v>
      </c>
      <c r="GK359" s="438" t="str">
        <f>IFERROR('!!'!G359-'!!'!D359,$GJ$15)</f>
        <v>N</v>
      </c>
      <c r="GL359" s="429" t="str">
        <f t="shared" si="81"/>
        <v>N</v>
      </c>
      <c r="GM359" s="438">
        <f>IFERROR(('!!'!$D359)*('!!'!W359/('!!'!$G359)),0)</f>
        <v>0</v>
      </c>
      <c r="GN359" s="438">
        <f>IFERROR(('!!'!$D359)*('!!'!X359/('!!'!$G359)),0)</f>
        <v>0</v>
      </c>
      <c r="GO359" s="438">
        <f>IFERROR(('!!'!$D359)*('!!'!Y359/('!!'!$G359)),0)</f>
        <v>0</v>
      </c>
      <c r="GP359" s="438">
        <f>IFERROR(('!!'!$D359)*('!!'!Z358/('!!'!$G359)),0)</f>
        <v>0</v>
      </c>
      <c r="GQ359" s="438">
        <f>IFERROR(('!!'!$D359)*('!!'!Q359/('!!'!$G359)),0)</f>
        <v>0</v>
      </c>
      <c r="GR359" s="429">
        <v>1</v>
      </c>
      <c r="GS359" s="429">
        <v>2</v>
      </c>
      <c r="GT359" s="432">
        <f>Monitoring!C359</f>
        <v>0</v>
      </c>
      <c r="GU359" s="432">
        <f>Reference!$C359</f>
        <v>0</v>
      </c>
      <c r="GV359" s="429">
        <f>Reference!$D359</f>
        <v>0</v>
      </c>
      <c r="GW359" s="440">
        <f t="shared" si="86"/>
        <v>0</v>
      </c>
      <c r="GX359" s="440">
        <f t="shared" si="86"/>
        <v>0</v>
      </c>
      <c r="GY359" s="440">
        <f t="shared" si="86"/>
        <v>0</v>
      </c>
      <c r="GZ359" s="440">
        <f t="shared" si="86"/>
        <v>0</v>
      </c>
      <c r="HA359" s="440"/>
      <c r="HB359" s="440"/>
      <c r="HC359" s="440"/>
      <c r="HD359" s="440"/>
      <c r="HE359" s="429">
        <f t="shared" si="82"/>
        <v>335</v>
      </c>
      <c r="HF359" s="429">
        <f>SUM(GW359*Baseline!$P$24,GX359*Baseline!$P$25,GY359*Baseline!$P$26,GZ359*Baseline!$P$27,HA359*Baseline!$P$28,HB359*Baseline!$P$29,HC359*Baseline!$P$30,HD359*Baseline!$P$31,Baseline!$P$23)</f>
        <v>626.18362874044828</v>
      </c>
      <c r="HG359" s="455" t="e">
        <f t="shared" si="83"/>
        <v>#DIV/0!</v>
      </c>
      <c r="HH359" s="429" t="e">
        <f>IF(HG359&lt;=Baseline!$J$13,1,0)</f>
        <v>#DIV/0!</v>
      </c>
      <c r="HI359" s="429">
        <f t="shared" si="84"/>
        <v>392105.93690255558</v>
      </c>
      <c r="HJ359" s="429">
        <f t="shared" si="79"/>
        <v>48910903.069173105</v>
      </c>
      <c r="HK359" s="429">
        <f t="shared" si="80"/>
        <v>58061606.033611111</v>
      </c>
      <c r="HL359" s="429" t="str">
        <f>IF(HM359=Reference!$I$12,(HF359-GV359),"")</f>
        <v/>
      </c>
      <c r="HM359" s="429" t="str">
        <f>Reference!I359</f>
        <v/>
      </c>
      <c r="HN359" s="429" t="str">
        <f t="shared" si="85"/>
        <v/>
      </c>
    </row>
    <row r="360" spans="189:222" ht="17.25" customHeight="1" x14ac:dyDescent="0.35">
      <c r="GG360" s="432"/>
      <c r="GJ360" s="429" t="str">
        <f>IF(GK360=$GJ$15,$GJ$15,IF(GJ$24=HF$4,SUM(GK$25:GK360),SUM(GL$25:GL360)))</f>
        <v>N</v>
      </c>
      <c r="GK360" s="438" t="str">
        <f>IFERROR('!!'!G360-'!!'!D360,$GJ$15)</f>
        <v>N</v>
      </c>
      <c r="GL360" s="429" t="str">
        <f t="shared" si="81"/>
        <v>N</v>
      </c>
      <c r="GM360" s="438">
        <f>IFERROR(('!!'!$D360)*('!!'!W360/('!!'!$G360)),0)</f>
        <v>0</v>
      </c>
      <c r="GN360" s="438">
        <f>IFERROR(('!!'!$D360)*('!!'!X360/('!!'!$G360)),0)</f>
        <v>0</v>
      </c>
      <c r="GO360" s="438">
        <f>IFERROR(('!!'!$D360)*('!!'!Y360/('!!'!$G360)),0)</f>
        <v>0</v>
      </c>
      <c r="GP360" s="438">
        <f>IFERROR(('!!'!$D360)*('!!'!Z359/('!!'!$G360)),0)</f>
        <v>0</v>
      </c>
      <c r="GQ360" s="438">
        <f>IFERROR(('!!'!$D360)*('!!'!Q360/('!!'!$G360)),0)</f>
        <v>0</v>
      </c>
      <c r="GR360" s="429">
        <v>1</v>
      </c>
      <c r="GS360" s="429">
        <v>2</v>
      </c>
      <c r="GT360" s="432">
        <f>Monitoring!C360</f>
        <v>0</v>
      </c>
      <c r="GU360" s="432">
        <f>Reference!$C360</f>
        <v>0</v>
      </c>
      <c r="GV360" s="429">
        <f>Reference!$D360</f>
        <v>0</v>
      </c>
      <c r="GW360" s="440">
        <f t="shared" si="86"/>
        <v>0</v>
      </c>
      <c r="GX360" s="440">
        <f t="shared" si="86"/>
        <v>0</v>
      </c>
      <c r="GY360" s="440">
        <f t="shared" si="86"/>
        <v>0</v>
      </c>
      <c r="GZ360" s="440">
        <f t="shared" si="86"/>
        <v>0</v>
      </c>
      <c r="HA360" s="440"/>
      <c r="HB360" s="440"/>
      <c r="HC360" s="440"/>
      <c r="HD360" s="440"/>
      <c r="HE360" s="429">
        <f t="shared" si="82"/>
        <v>336</v>
      </c>
      <c r="HF360" s="429">
        <f>SUM(GW360*Baseline!$P$24,GX360*Baseline!$P$25,GY360*Baseline!$P$26,GZ360*Baseline!$P$27,HA360*Baseline!$P$28,HB360*Baseline!$P$29,HC360*Baseline!$P$30,HD360*Baseline!$P$31,Baseline!$P$23)</f>
        <v>626.18362874044828</v>
      </c>
      <c r="HG360" s="455" t="e">
        <f t="shared" si="83"/>
        <v>#DIV/0!</v>
      </c>
      <c r="HH360" s="429" t="e">
        <f>IF(HG360&lt;=Baseline!$J$13,1,0)</f>
        <v>#DIV/0!</v>
      </c>
      <c r="HI360" s="429">
        <f t="shared" si="84"/>
        <v>392105.93690255558</v>
      </c>
      <c r="HJ360" s="429">
        <f t="shared" si="79"/>
        <v>48910903.069173105</v>
      </c>
      <c r="HK360" s="429">
        <f t="shared" si="80"/>
        <v>58061606.033611111</v>
      </c>
      <c r="HL360" s="429" t="str">
        <f>IF(HM360=Reference!$I$12,(HF360-GV360),"")</f>
        <v/>
      </c>
      <c r="HM360" s="429" t="str">
        <f>Reference!I360</f>
        <v/>
      </c>
      <c r="HN360" s="429" t="str">
        <f t="shared" si="85"/>
        <v/>
      </c>
    </row>
    <row r="361" spans="189:222" ht="17.25" customHeight="1" x14ac:dyDescent="0.35">
      <c r="GG361" s="432"/>
      <c r="GJ361" s="429" t="str">
        <f>IF(GK361=$GJ$15,$GJ$15,IF(GJ$24=HF$4,SUM(GK$25:GK361),SUM(GL$25:GL361)))</f>
        <v>N</v>
      </c>
      <c r="GK361" s="438" t="str">
        <f>IFERROR('!!'!G361-'!!'!D361,$GJ$15)</f>
        <v>N</v>
      </c>
      <c r="GL361" s="429" t="str">
        <f t="shared" si="81"/>
        <v>N</v>
      </c>
      <c r="GM361" s="438">
        <f>IFERROR(('!!'!$D361)*('!!'!W361/('!!'!$G361)),0)</f>
        <v>0</v>
      </c>
      <c r="GN361" s="438">
        <f>IFERROR(('!!'!$D361)*('!!'!X361/('!!'!$G361)),0)</f>
        <v>0</v>
      </c>
      <c r="GO361" s="438">
        <f>IFERROR(('!!'!$D361)*('!!'!Y361/('!!'!$G361)),0)</f>
        <v>0</v>
      </c>
      <c r="GP361" s="438">
        <f>IFERROR(('!!'!$D361)*('!!'!Z360/('!!'!$G361)),0)</f>
        <v>0</v>
      </c>
      <c r="GQ361" s="438">
        <f>IFERROR(('!!'!$D361)*('!!'!Q361/('!!'!$G361)),0)</f>
        <v>0</v>
      </c>
      <c r="GR361" s="429">
        <v>1</v>
      </c>
      <c r="GS361" s="429">
        <v>2</v>
      </c>
      <c r="GT361" s="432">
        <f>Monitoring!C361</f>
        <v>0</v>
      </c>
      <c r="GU361" s="432">
        <f>Reference!$C361</f>
        <v>0</v>
      </c>
      <c r="GV361" s="429">
        <f>Reference!$D361</f>
        <v>0</v>
      </c>
      <c r="GW361" s="440">
        <f t="shared" si="86"/>
        <v>0</v>
      </c>
      <c r="GX361" s="440">
        <f t="shared" si="86"/>
        <v>0</v>
      </c>
      <c r="GY361" s="440">
        <f t="shared" si="86"/>
        <v>0</v>
      </c>
      <c r="GZ361" s="440">
        <f t="shared" si="86"/>
        <v>0</v>
      </c>
      <c r="HA361" s="440"/>
      <c r="HB361" s="440"/>
      <c r="HC361" s="440"/>
      <c r="HD361" s="440"/>
      <c r="HE361" s="429">
        <f t="shared" si="82"/>
        <v>337</v>
      </c>
      <c r="HF361" s="429">
        <f>SUM(GW361*Baseline!$P$24,GX361*Baseline!$P$25,GY361*Baseline!$P$26,GZ361*Baseline!$P$27,HA361*Baseline!$P$28,HB361*Baseline!$P$29,HC361*Baseline!$P$30,HD361*Baseline!$P$31,Baseline!$P$23)</f>
        <v>626.18362874044828</v>
      </c>
      <c r="HG361" s="455" t="e">
        <f t="shared" si="83"/>
        <v>#DIV/0!</v>
      </c>
      <c r="HH361" s="429" t="e">
        <f>IF(HG361&lt;=Baseline!$J$13,1,0)</f>
        <v>#DIV/0!</v>
      </c>
      <c r="HI361" s="429">
        <f t="shared" si="84"/>
        <v>392105.93690255558</v>
      </c>
      <c r="HJ361" s="429">
        <f t="shared" si="79"/>
        <v>48910903.069173105</v>
      </c>
      <c r="HK361" s="429">
        <f t="shared" si="80"/>
        <v>58061606.033611111</v>
      </c>
      <c r="HL361" s="429" t="str">
        <f>IF(HM361=Reference!$I$12,(HF361-GV361),"")</f>
        <v/>
      </c>
      <c r="HM361" s="429" t="str">
        <f>Reference!I361</f>
        <v/>
      </c>
      <c r="HN361" s="429" t="str">
        <f t="shared" si="85"/>
        <v/>
      </c>
    </row>
    <row r="362" spans="189:222" ht="17.25" customHeight="1" x14ac:dyDescent="0.35">
      <c r="GG362" s="432"/>
      <c r="GJ362" s="429" t="str">
        <f>IF(GK362=$GJ$15,$GJ$15,IF(GJ$24=HF$4,SUM(GK$25:GK362),SUM(GL$25:GL362)))</f>
        <v>N</v>
      </c>
      <c r="GK362" s="438" t="str">
        <f>IFERROR('!!'!G362-'!!'!D362,$GJ$15)</f>
        <v>N</v>
      </c>
      <c r="GL362" s="429" t="str">
        <f t="shared" si="81"/>
        <v>N</v>
      </c>
      <c r="GM362" s="438">
        <f>IFERROR(('!!'!$D362)*('!!'!W362/('!!'!$G362)),0)</f>
        <v>0</v>
      </c>
      <c r="GN362" s="438">
        <f>IFERROR(('!!'!$D362)*('!!'!X362/('!!'!$G362)),0)</f>
        <v>0</v>
      </c>
      <c r="GO362" s="438">
        <f>IFERROR(('!!'!$D362)*('!!'!Y362/('!!'!$G362)),0)</f>
        <v>0</v>
      </c>
      <c r="GP362" s="438">
        <f>IFERROR(('!!'!$D362)*('!!'!Z361/('!!'!$G362)),0)</f>
        <v>0</v>
      </c>
      <c r="GQ362" s="438">
        <f>IFERROR(('!!'!$D362)*('!!'!Q362/('!!'!$G362)),0)</f>
        <v>0</v>
      </c>
      <c r="GR362" s="429">
        <v>1</v>
      </c>
      <c r="GS362" s="429">
        <v>2</v>
      </c>
      <c r="GT362" s="432">
        <f>Monitoring!C362</f>
        <v>0</v>
      </c>
      <c r="GU362" s="432">
        <f>Reference!$C362</f>
        <v>0</v>
      </c>
      <c r="GV362" s="429">
        <f>Reference!$D362</f>
        <v>0</v>
      </c>
      <c r="GW362" s="440">
        <f t="shared" si="86"/>
        <v>0</v>
      </c>
      <c r="GX362" s="440">
        <f t="shared" si="86"/>
        <v>0</v>
      </c>
      <c r="GY362" s="440">
        <f t="shared" si="86"/>
        <v>0</v>
      </c>
      <c r="GZ362" s="440">
        <f t="shared" si="86"/>
        <v>0</v>
      </c>
      <c r="HA362" s="440"/>
      <c r="HB362" s="440"/>
      <c r="HC362" s="440"/>
      <c r="HD362" s="440"/>
      <c r="HE362" s="429">
        <f t="shared" si="82"/>
        <v>338</v>
      </c>
      <c r="HF362" s="429">
        <f>SUM(GW362*Baseline!$P$24,GX362*Baseline!$P$25,GY362*Baseline!$P$26,GZ362*Baseline!$P$27,HA362*Baseline!$P$28,HB362*Baseline!$P$29,HC362*Baseline!$P$30,HD362*Baseline!$P$31,Baseline!$P$23)</f>
        <v>626.18362874044828</v>
      </c>
      <c r="HG362" s="455" t="e">
        <f t="shared" si="83"/>
        <v>#DIV/0!</v>
      </c>
      <c r="HH362" s="429" t="e">
        <f>IF(HG362&lt;=Baseline!$J$13,1,0)</f>
        <v>#DIV/0!</v>
      </c>
      <c r="HI362" s="429">
        <f t="shared" si="84"/>
        <v>392105.93690255558</v>
      </c>
      <c r="HJ362" s="429">
        <f t="shared" si="79"/>
        <v>48910903.069173105</v>
      </c>
      <c r="HK362" s="429">
        <f t="shared" si="80"/>
        <v>58061606.033611111</v>
      </c>
      <c r="HL362" s="429" t="str">
        <f>IF(HM362=Reference!$I$12,(HF362-GV362),"")</f>
        <v/>
      </c>
      <c r="HM362" s="429" t="str">
        <f>Reference!I362</f>
        <v/>
      </c>
      <c r="HN362" s="429" t="str">
        <f t="shared" si="85"/>
        <v/>
      </c>
    </row>
    <row r="363" spans="189:222" ht="17.25" customHeight="1" x14ac:dyDescent="0.35">
      <c r="GG363" s="432"/>
      <c r="GJ363" s="429" t="str">
        <f>IF(GK363=$GJ$15,$GJ$15,IF(GJ$24=HF$4,SUM(GK$25:GK363),SUM(GL$25:GL363)))</f>
        <v>N</v>
      </c>
      <c r="GK363" s="438" t="str">
        <f>IFERROR('!!'!G363-'!!'!D363,$GJ$15)</f>
        <v>N</v>
      </c>
      <c r="GL363" s="429" t="str">
        <f t="shared" si="81"/>
        <v>N</v>
      </c>
      <c r="GM363" s="438">
        <f>IFERROR(('!!'!$D363)*('!!'!W363/('!!'!$G363)),0)</f>
        <v>0</v>
      </c>
      <c r="GN363" s="438">
        <f>IFERROR(('!!'!$D363)*('!!'!X363/('!!'!$G363)),0)</f>
        <v>0</v>
      </c>
      <c r="GO363" s="438">
        <f>IFERROR(('!!'!$D363)*('!!'!Y363/('!!'!$G363)),0)</f>
        <v>0</v>
      </c>
      <c r="GP363" s="438">
        <f>IFERROR(('!!'!$D363)*('!!'!Z362/('!!'!$G363)),0)</f>
        <v>0</v>
      </c>
      <c r="GQ363" s="438">
        <f>IFERROR(('!!'!$D363)*('!!'!Q363/('!!'!$G363)),0)</f>
        <v>0</v>
      </c>
      <c r="GR363" s="429">
        <v>1</v>
      </c>
      <c r="GS363" s="429">
        <v>2</v>
      </c>
      <c r="GT363" s="432">
        <f>Monitoring!C363</f>
        <v>0</v>
      </c>
      <c r="GU363" s="432">
        <f>Reference!$C363</f>
        <v>0</v>
      </c>
      <c r="GV363" s="429">
        <f>Reference!$D363</f>
        <v>0</v>
      </c>
      <c r="GW363" s="440">
        <f t="shared" si="86"/>
        <v>0</v>
      </c>
      <c r="GX363" s="440">
        <f t="shared" si="86"/>
        <v>0</v>
      </c>
      <c r="GY363" s="440">
        <f t="shared" si="86"/>
        <v>0</v>
      </c>
      <c r="GZ363" s="440">
        <f t="shared" si="86"/>
        <v>0</v>
      </c>
      <c r="HA363" s="440"/>
      <c r="HB363" s="440"/>
      <c r="HC363" s="440"/>
      <c r="HD363" s="440"/>
      <c r="HE363" s="429">
        <f t="shared" si="82"/>
        <v>339</v>
      </c>
      <c r="HF363" s="429">
        <f>SUM(GW363*Baseline!$P$24,GX363*Baseline!$P$25,GY363*Baseline!$P$26,GZ363*Baseline!$P$27,HA363*Baseline!$P$28,HB363*Baseline!$P$29,HC363*Baseline!$P$30,HD363*Baseline!$P$31,Baseline!$P$23)</f>
        <v>626.18362874044828</v>
      </c>
      <c r="HG363" s="455" t="e">
        <f t="shared" si="83"/>
        <v>#DIV/0!</v>
      </c>
      <c r="HH363" s="429" t="e">
        <f>IF(HG363&lt;=Baseline!$J$13,1,0)</f>
        <v>#DIV/0!</v>
      </c>
      <c r="HI363" s="429">
        <f t="shared" si="84"/>
        <v>392105.93690255558</v>
      </c>
      <c r="HJ363" s="429">
        <f t="shared" si="79"/>
        <v>48910903.069173105</v>
      </c>
      <c r="HK363" s="429">
        <f t="shared" si="80"/>
        <v>58061606.033611111</v>
      </c>
      <c r="HL363" s="429" t="str">
        <f>IF(HM363=Reference!$I$12,(HF363-GV363),"")</f>
        <v/>
      </c>
      <c r="HM363" s="429" t="str">
        <f>Reference!I363</f>
        <v/>
      </c>
      <c r="HN363" s="429" t="str">
        <f t="shared" si="85"/>
        <v/>
      </c>
    </row>
    <row r="364" spans="189:222" ht="17.25" customHeight="1" x14ac:dyDescent="0.35">
      <c r="GG364" s="432"/>
      <c r="GJ364" s="429" t="str">
        <f>IF(GK364=$GJ$15,$GJ$15,IF(GJ$24=HF$4,SUM(GK$25:GK364),SUM(GL$25:GL364)))</f>
        <v>N</v>
      </c>
      <c r="GK364" s="438" t="str">
        <f>IFERROR('!!'!G364-'!!'!D364,$GJ$15)</f>
        <v>N</v>
      </c>
      <c r="GL364" s="429" t="str">
        <f t="shared" si="81"/>
        <v>N</v>
      </c>
      <c r="GM364" s="438">
        <f>IFERROR(('!!'!$D364)*('!!'!W364/('!!'!$G364)),0)</f>
        <v>0</v>
      </c>
      <c r="GN364" s="438">
        <f>IFERROR(('!!'!$D364)*('!!'!X364/('!!'!$G364)),0)</f>
        <v>0</v>
      </c>
      <c r="GO364" s="438">
        <f>IFERROR(('!!'!$D364)*('!!'!Y364/('!!'!$G364)),0)</f>
        <v>0</v>
      </c>
      <c r="GP364" s="438">
        <f>IFERROR(('!!'!$D364)*('!!'!Z363/('!!'!$G364)),0)</f>
        <v>0</v>
      </c>
      <c r="GQ364" s="438">
        <f>IFERROR(('!!'!$D364)*('!!'!Q364/('!!'!$G364)),0)</f>
        <v>0</v>
      </c>
      <c r="GR364" s="429">
        <v>1</v>
      </c>
      <c r="GS364" s="429">
        <v>2</v>
      </c>
      <c r="GT364" s="432">
        <f>Monitoring!C364</f>
        <v>0</v>
      </c>
      <c r="GU364" s="432">
        <f>Reference!$C364</f>
        <v>0</v>
      </c>
      <c r="GV364" s="429">
        <f>Reference!$D364</f>
        <v>0</v>
      </c>
      <c r="GW364" s="440">
        <f t="shared" si="86"/>
        <v>0</v>
      </c>
      <c r="GX364" s="440">
        <f t="shared" si="86"/>
        <v>0</v>
      </c>
      <c r="GY364" s="440">
        <f t="shared" si="86"/>
        <v>0</v>
      </c>
      <c r="GZ364" s="440">
        <f t="shared" si="86"/>
        <v>0</v>
      </c>
      <c r="HA364" s="440"/>
      <c r="HB364" s="440"/>
      <c r="HC364" s="440"/>
      <c r="HD364" s="440"/>
      <c r="HE364" s="429">
        <f t="shared" si="82"/>
        <v>340</v>
      </c>
      <c r="HF364" s="429">
        <f>SUM(GW364*Baseline!$P$24,GX364*Baseline!$P$25,GY364*Baseline!$P$26,GZ364*Baseline!$P$27,HA364*Baseline!$P$28,HB364*Baseline!$P$29,HC364*Baseline!$P$30,HD364*Baseline!$P$31,Baseline!$P$23)</f>
        <v>626.18362874044828</v>
      </c>
      <c r="HG364" s="455" t="e">
        <f t="shared" si="83"/>
        <v>#DIV/0!</v>
      </c>
      <c r="HH364" s="429" t="e">
        <f>IF(HG364&lt;=Baseline!$J$13,1,0)</f>
        <v>#DIV/0!</v>
      </c>
      <c r="HI364" s="429">
        <f t="shared" si="84"/>
        <v>392105.93690255558</v>
      </c>
      <c r="HJ364" s="429">
        <f t="shared" si="79"/>
        <v>48910903.069173105</v>
      </c>
      <c r="HK364" s="429">
        <f t="shared" si="80"/>
        <v>58061606.033611111</v>
      </c>
      <c r="HL364" s="429" t="str">
        <f>IF(HM364=Reference!$I$12,(HF364-GV364),"")</f>
        <v/>
      </c>
      <c r="HM364" s="429" t="str">
        <f>Reference!I364</f>
        <v/>
      </c>
      <c r="HN364" s="429" t="str">
        <f t="shared" si="85"/>
        <v/>
      </c>
    </row>
    <row r="365" spans="189:222" ht="17.25" customHeight="1" x14ac:dyDescent="0.35">
      <c r="GG365" s="432"/>
      <c r="GJ365" s="429" t="str">
        <f>IF(GK365=$GJ$15,$GJ$15,IF(GJ$24=HF$4,SUM(GK$25:GK365),SUM(GL$25:GL365)))</f>
        <v>N</v>
      </c>
      <c r="GK365" s="438" t="str">
        <f>IFERROR('!!'!G365-'!!'!D365,$GJ$15)</f>
        <v>N</v>
      </c>
      <c r="GL365" s="429" t="str">
        <f t="shared" si="81"/>
        <v>N</v>
      </c>
      <c r="GM365" s="438">
        <f>IFERROR(('!!'!$D365)*('!!'!W365/('!!'!$G365)),0)</f>
        <v>0</v>
      </c>
      <c r="GN365" s="438">
        <f>IFERROR(('!!'!$D365)*('!!'!X365/('!!'!$G365)),0)</f>
        <v>0</v>
      </c>
      <c r="GO365" s="438">
        <f>IFERROR(('!!'!$D365)*('!!'!Y365/('!!'!$G365)),0)</f>
        <v>0</v>
      </c>
      <c r="GP365" s="438">
        <f>IFERROR(('!!'!$D365)*('!!'!Z364/('!!'!$G365)),0)</f>
        <v>0</v>
      </c>
      <c r="GQ365" s="438">
        <f>IFERROR(('!!'!$D365)*('!!'!Q365/('!!'!$G365)),0)</f>
        <v>0</v>
      </c>
      <c r="GR365" s="429">
        <v>1</v>
      </c>
      <c r="GS365" s="429">
        <v>2</v>
      </c>
      <c r="GT365" s="432">
        <f>Monitoring!C365</f>
        <v>0</v>
      </c>
      <c r="GU365" s="432">
        <f>Reference!$C365</f>
        <v>0</v>
      </c>
      <c r="GV365" s="429">
        <f>Reference!$D365</f>
        <v>0</v>
      </c>
      <c r="GW365" s="440">
        <f t="shared" ref="GW365:GZ374" si="87">IFERROR(VLOOKUP($GU365,Daten.B,GW$22,FALSE)^GW$23,0)</f>
        <v>0</v>
      </c>
      <c r="GX365" s="440">
        <f t="shared" si="87"/>
        <v>0</v>
      </c>
      <c r="GY365" s="440">
        <f t="shared" si="87"/>
        <v>0</v>
      </c>
      <c r="GZ365" s="440">
        <f t="shared" si="87"/>
        <v>0</v>
      </c>
      <c r="HA365" s="440"/>
      <c r="HB365" s="440"/>
      <c r="HC365" s="440"/>
      <c r="HD365" s="440"/>
      <c r="HE365" s="429">
        <f t="shared" si="82"/>
        <v>341</v>
      </c>
      <c r="HF365" s="429">
        <f>SUM(GW365*Baseline!$P$24,GX365*Baseline!$P$25,GY365*Baseline!$P$26,GZ365*Baseline!$P$27,HA365*Baseline!$P$28,HB365*Baseline!$P$29,HC365*Baseline!$P$30,HD365*Baseline!$P$31,Baseline!$P$23)</f>
        <v>626.18362874044828</v>
      </c>
      <c r="HG365" s="455" t="e">
        <f t="shared" si="83"/>
        <v>#DIV/0!</v>
      </c>
      <c r="HH365" s="429" t="e">
        <f>IF(HG365&lt;=Baseline!$J$13,1,0)</f>
        <v>#DIV/0!</v>
      </c>
      <c r="HI365" s="429">
        <f t="shared" si="84"/>
        <v>392105.93690255558</v>
      </c>
      <c r="HJ365" s="429">
        <f t="shared" si="79"/>
        <v>48910903.069173105</v>
      </c>
      <c r="HK365" s="429">
        <f t="shared" si="80"/>
        <v>58061606.033611111</v>
      </c>
      <c r="HL365" s="429" t="str">
        <f>IF(HM365=Reference!$I$12,(HF365-GV365),"")</f>
        <v/>
      </c>
      <c r="HM365" s="429" t="str">
        <f>Reference!I365</f>
        <v/>
      </c>
      <c r="HN365" s="429" t="str">
        <f t="shared" si="85"/>
        <v/>
      </c>
    </row>
    <row r="366" spans="189:222" ht="17.25" customHeight="1" x14ac:dyDescent="0.35">
      <c r="GG366" s="432"/>
      <c r="GJ366" s="429" t="str">
        <f>IF(GK366=$GJ$15,$GJ$15,IF(GJ$24=HF$4,SUM(GK$25:GK366),SUM(GL$25:GL366)))</f>
        <v>N</v>
      </c>
      <c r="GK366" s="438" t="str">
        <f>IFERROR('!!'!G366-'!!'!D366,$GJ$15)</f>
        <v>N</v>
      </c>
      <c r="GL366" s="429" t="str">
        <f t="shared" si="81"/>
        <v>N</v>
      </c>
      <c r="GM366" s="438">
        <f>IFERROR(('!!'!$D366)*('!!'!W366/('!!'!$G366)),0)</f>
        <v>0</v>
      </c>
      <c r="GN366" s="438">
        <f>IFERROR(('!!'!$D366)*('!!'!X366/('!!'!$G366)),0)</f>
        <v>0</v>
      </c>
      <c r="GO366" s="438">
        <f>IFERROR(('!!'!$D366)*('!!'!Y366/('!!'!$G366)),0)</f>
        <v>0</v>
      </c>
      <c r="GP366" s="438">
        <f>IFERROR(('!!'!$D366)*('!!'!Z365/('!!'!$G366)),0)</f>
        <v>0</v>
      </c>
      <c r="GQ366" s="438">
        <f>IFERROR(('!!'!$D366)*('!!'!Q366/('!!'!$G366)),0)</f>
        <v>0</v>
      </c>
      <c r="GR366" s="429">
        <v>1</v>
      </c>
      <c r="GS366" s="429">
        <v>2</v>
      </c>
      <c r="GT366" s="432">
        <f>Monitoring!C366</f>
        <v>0</v>
      </c>
      <c r="GU366" s="432">
        <f>Reference!$C366</f>
        <v>0</v>
      </c>
      <c r="GV366" s="429">
        <f>Reference!$D366</f>
        <v>0</v>
      </c>
      <c r="GW366" s="440">
        <f t="shared" si="87"/>
        <v>0</v>
      </c>
      <c r="GX366" s="440">
        <f t="shared" si="87"/>
        <v>0</v>
      </c>
      <c r="GY366" s="440">
        <f t="shared" si="87"/>
        <v>0</v>
      </c>
      <c r="GZ366" s="440">
        <f t="shared" si="87"/>
        <v>0</v>
      </c>
      <c r="HA366" s="440"/>
      <c r="HB366" s="440"/>
      <c r="HC366" s="440"/>
      <c r="HD366" s="440"/>
      <c r="HE366" s="429">
        <f t="shared" si="82"/>
        <v>342</v>
      </c>
      <c r="HF366" s="429">
        <f>SUM(GW366*Baseline!$P$24,GX366*Baseline!$P$25,GY366*Baseline!$P$26,GZ366*Baseline!$P$27,HA366*Baseline!$P$28,HB366*Baseline!$P$29,HC366*Baseline!$P$30,HD366*Baseline!$P$31,Baseline!$P$23)</f>
        <v>626.18362874044828</v>
      </c>
      <c r="HG366" s="455" t="e">
        <f t="shared" si="83"/>
        <v>#DIV/0!</v>
      </c>
      <c r="HH366" s="429" t="e">
        <f>IF(HG366&lt;=Baseline!$J$13,1,0)</f>
        <v>#DIV/0!</v>
      </c>
      <c r="HI366" s="429">
        <f t="shared" si="84"/>
        <v>392105.93690255558</v>
      </c>
      <c r="HJ366" s="429">
        <f t="shared" si="79"/>
        <v>48910903.069173105</v>
      </c>
      <c r="HK366" s="429">
        <f t="shared" si="80"/>
        <v>58061606.033611111</v>
      </c>
      <c r="HL366" s="429" t="str">
        <f>IF(HM366=Reference!$I$12,(HF366-GV366),"")</f>
        <v/>
      </c>
      <c r="HM366" s="429" t="str">
        <f>Reference!I366</f>
        <v/>
      </c>
      <c r="HN366" s="429" t="str">
        <f t="shared" si="85"/>
        <v/>
      </c>
    </row>
    <row r="367" spans="189:222" ht="17.25" customHeight="1" x14ac:dyDescent="0.35">
      <c r="GG367" s="432"/>
      <c r="GJ367" s="429" t="str">
        <f>IF(GK367=$GJ$15,$GJ$15,IF(GJ$24=HF$4,SUM(GK$25:GK367),SUM(GL$25:GL367)))</f>
        <v>N</v>
      </c>
      <c r="GK367" s="438" t="str">
        <f>IFERROR('!!'!G367-'!!'!D367,$GJ$15)</f>
        <v>N</v>
      </c>
      <c r="GL367" s="429" t="str">
        <f t="shared" si="81"/>
        <v>N</v>
      </c>
      <c r="GM367" s="438">
        <f>IFERROR(('!!'!$D367)*('!!'!W367/('!!'!$G367)),0)</f>
        <v>0</v>
      </c>
      <c r="GN367" s="438">
        <f>IFERROR(('!!'!$D367)*('!!'!X367/('!!'!$G367)),0)</f>
        <v>0</v>
      </c>
      <c r="GO367" s="438">
        <f>IFERROR(('!!'!$D367)*('!!'!Y367/('!!'!$G367)),0)</f>
        <v>0</v>
      </c>
      <c r="GP367" s="438">
        <f>IFERROR(('!!'!$D367)*('!!'!Z366/('!!'!$G367)),0)</f>
        <v>0</v>
      </c>
      <c r="GQ367" s="438">
        <f>IFERROR(('!!'!$D367)*('!!'!Q367/('!!'!$G367)),0)</f>
        <v>0</v>
      </c>
      <c r="GR367" s="429">
        <v>1</v>
      </c>
      <c r="GS367" s="429">
        <v>2</v>
      </c>
      <c r="GT367" s="432">
        <f>Monitoring!C367</f>
        <v>0</v>
      </c>
      <c r="GU367" s="432">
        <f>Reference!$C367</f>
        <v>0</v>
      </c>
      <c r="GV367" s="429">
        <f>Reference!$D367</f>
        <v>0</v>
      </c>
      <c r="GW367" s="440">
        <f t="shared" si="87"/>
        <v>0</v>
      </c>
      <c r="GX367" s="440">
        <f t="shared" si="87"/>
        <v>0</v>
      </c>
      <c r="GY367" s="440">
        <f t="shared" si="87"/>
        <v>0</v>
      </c>
      <c r="GZ367" s="440">
        <f t="shared" si="87"/>
        <v>0</v>
      </c>
      <c r="HA367" s="440"/>
      <c r="HB367" s="440"/>
      <c r="HC367" s="440"/>
      <c r="HD367" s="440"/>
      <c r="HE367" s="429">
        <f t="shared" si="82"/>
        <v>343</v>
      </c>
      <c r="HF367" s="429">
        <f>SUM(GW367*Baseline!$P$24,GX367*Baseline!$P$25,GY367*Baseline!$P$26,GZ367*Baseline!$P$27,HA367*Baseline!$P$28,HB367*Baseline!$P$29,HC367*Baseline!$P$30,HD367*Baseline!$P$31,Baseline!$P$23)</f>
        <v>626.18362874044828</v>
      </c>
      <c r="HG367" s="455" t="e">
        <f t="shared" si="83"/>
        <v>#DIV/0!</v>
      </c>
      <c r="HH367" s="429" t="e">
        <f>IF(HG367&lt;=Baseline!$J$13,1,0)</f>
        <v>#DIV/0!</v>
      </c>
      <c r="HI367" s="429">
        <f t="shared" si="84"/>
        <v>392105.93690255558</v>
      </c>
      <c r="HJ367" s="429">
        <f t="shared" si="79"/>
        <v>48910903.069173105</v>
      </c>
      <c r="HK367" s="429">
        <f t="shared" si="80"/>
        <v>58061606.033611111</v>
      </c>
      <c r="HL367" s="429" t="str">
        <f>IF(HM367=Reference!$I$12,(HF367-GV367),"")</f>
        <v/>
      </c>
      <c r="HM367" s="429" t="str">
        <f>Reference!I367</f>
        <v/>
      </c>
      <c r="HN367" s="429" t="str">
        <f t="shared" si="85"/>
        <v/>
      </c>
    </row>
    <row r="368" spans="189:222" ht="17.25" customHeight="1" x14ac:dyDescent="0.35">
      <c r="GG368" s="432"/>
      <c r="GJ368" s="429" t="str">
        <f>IF(GK368=$GJ$15,$GJ$15,IF(GJ$24=HF$4,SUM(GK$25:GK368),SUM(GL$25:GL368)))</f>
        <v>N</v>
      </c>
      <c r="GK368" s="438" t="str">
        <f>IFERROR('!!'!G368-'!!'!D368,$GJ$15)</f>
        <v>N</v>
      </c>
      <c r="GL368" s="429" t="str">
        <f t="shared" si="81"/>
        <v>N</v>
      </c>
      <c r="GM368" s="438">
        <f>IFERROR(('!!'!$D368)*('!!'!W368/('!!'!$G368)),0)</f>
        <v>0</v>
      </c>
      <c r="GN368" s="438">
        <f>IFERROR(('!!'!$D368)*('!!'!X368/('!!'!$G368)),0)</f>
        <v>0</v>
      </c>
      <c r="GO368" s="438">
        <f>IFERROR(('!!'!$D368)*('!!'!Y368/('!!'!$G368)),0)</f>
        <v>0</v>
      </c>
      <c r="GP368" s="438">
        <f>IFERROR(('!!'!$D368)*('!!'!Z367/('!!'!$G368)),0)</f>
        <v>0</v>
      </c>
      <c r="GQ368" s="438">
        <f>IFERROR(('!!'!$D368)*('!!'!Q368/('!!'!$G368)),0)</f>
        <v>0</v>
      </c>
      <c r="GR368" s="429">
        <v>1</v>
      </c>
      <c r="GS368" s="429">
        <v>2</v>
      </c>
      <c r="GT368" s="432">
        <f>Monitoring!C368</f>
        <v>0</v>
      </c>
      <c r="GU368" s="432">
        <f>Reference!$C368</f>
        <v>0</v>
      </c>
      <c r="GV368" s="429">
        <f>Reference!$D368</f>
        <v>0</v>
      </c>
      <c r="GW368" s="440">
        <f t="shared" si="87"/>
        <v>0</v>
      </c>
      <c r="GX368" s="440">
        <f t="shared" si="87"/>
        <v>0</v>
      </c>
      <c r="GY368" s="440">
        <f t="shared" si="87"/>
        <v>0</v>
      </c>
      <c r="GZ368" s="440">
        <f t="shared" si="87"/>
        <v>0</v>
      </c>
      <c r="HA368" s="440"/>
      <c r="HB368" s="440"/>
      <c r="HC368" s="440"/>
      <c r="HD368" s="440"/>
      <c r="HE368" s="429">
        <f t="shared" si="82"/>
        <v>344</v>
      </c>
      <c r="HF368" s="429">
        <f>SUM(GW368*Baseline!$P$24,GX368*Baseline!$P$25,GY368*Baseline!$P$26,GZ368*Baseline!$P$27,HA368*Baseline!$P$28,HB368*Baseline!$P$29,HC368*Baseline!$P$30,HD368*Baseline!$P$31,Baseline!$P$23)</f>
        <v>626.18362874044828</v>
      </c>
      <c r="HG368" s="455" t="e">
        <f t="shared" si="83"/>
        <v>#DIV/0!</v>
      </c>
      <c r="HH368" s="429" t="e">
        <f>IF(HG368&lt;=Baseline!$J$13,1,0)</f>
        <v>#DIV/0!</v>
      </c>
      <c r="HI368" s="429">
        <f t="shared" si="84"/>
        <v>392105.93690255558</v>
      </c>
      <c r="HJ368" s="429">
        <f t="shared" si="79"/>
        <v>48910903.069173105</v>
      </c>
      <c r="HK368" s="429">
        <f t="shared" si="80"/>
        <v>58061606.033611111</v>
      </c>
      <c r="HL368" s="429" t="str">
        <f>IF(HM368=Reference!$I$12,(HF368-GV368),"")</f>
        <v/>
      </c>
      <c r="HM368" s="429" t="str">
        <f>Reference!I368</f>
        <v/>
      </c>
      <c r="HN368" s="429" t="str">
        <f t="shared" si="85"/>
        <v/>
      </c>
    </row>
    <row r="369" spans="189:222" ht="17.25" customHeight="1" x14ac:dyDescent="0.35">
      <c r="GG369" s="432"/>
      <c r="GJ369" s="429" t="str">
        <f>IF(GK369=$GJ$15,$GJ$15,IF(GJ$24=HF$4,SUM(GK$25:GK369),SUM(GL$25:GL369)))</f>
        <v>N</v>
      </c>
      <c r="GK369" s="438" t="str">
        <f>IFERROR('!!'!G369-'!!'!D369,$GJ$15)</f>
        <v>N</v>
      </c>
      <c r="GL369" s="429" t="str">
        <f t="shared" si="81"/>
        <v>N</v>
      </c>
      <c r="GM369" s="438">
        <f>IFERROR(('!!'!$D369)*('!!'!W369/('!!'!$G369)),0)</f>
        <v>0</v>
      </c>
      <c r="GN369" s="438">
        <f>IFERROR(('!!'!$D369)*('!!'!X369/('!!'!$G369)),0)</f>
        <v>0</v>
      </c>
      <c r="GO369" s="438">
        <f>IFERROR(('!!'!$D369)*('!!'!Y369/('!!'!$G369)),0)</f>
        <v>0</v>
      </c>
      <c r="GP369" s="438">
        <f>IFERROR(('!!'!$D369)*('!!'!Z368/('!!'!$G369)),0)</f>
        <v>0</v>
      </c>
      <c r="GQ369" s="438">
        <f>IFERROR(('!!'!$D369)*('!!'!Q369/('!!'!$G369)),0)</f>
        <v>0</v>
      </c>
      <c r="GR369" s="429">
        <v>1</v>
      </c>
      <c r="GS369" s="429">
        <v>2</v>
      </c>
      <c r="GT369" s="432">
        <f>Monitoring!C369</f>
        <v>0</v>
      </c>
      <c r="GU369" s="432">
        <f>Reference!$C369</f>
        <v>0</v>
      </c>
      <c r="GV369" s="429">
        <f>Reference!$D369</f>
        <v>0</v>
      </c>
      <c r="GW369" s="440">
        <f t="shared" si="87"/>
        <v>0</v>
      </c>
      <c r="GX369" s="440">
        <f t="shared" si="87"/>
        <v>0</v>
      </c>
      <c r="GY369" s="440">
        <f t="shared" si="87"/>
        <v>0</v>
      </c>
      <c r="GZ369" s="440">
        <f t="shared" si="87"/>
        <v>0</v>
      </c>
      <c r="HA369" s="440"/>
      <c r="HB369" s="440"/>
      <c r="HC369" s="440"/>
      <c r="HD369" s="440"/>
      <c r="HE369" s="429">
        <f t="shared" si="82"/>
        <v>345</v>
      </c>
      <c r="HF369" s="429">
        <f>SUM(GW369*Baseline!$P$24,GX369*Baseline!$P$25,GY369*Baseline!$P$26,GZ369*Baseline!$P$27,HA369*Baseline!$P$28,HB369*Baseline!$P$29,HC369*Baseline!$P$30,HD369*Baseline!$P$31,Baseline!$P$23)</f>
        <v>626.18362874044828</v>
      </c>
      <c r="HG369" s="455" t="e">
        <f t="shared" si="83"/>
        <v>#DIV/0!</v>
      </c>
      <c r="HH369" s="429" t="e">
        <f>IF(HG369&lt;=Baseline!$J$13,1,0)</f>
        <v>#DIV/0!</v>
      </c>
      <c r="HI369" s="429">
        <f t="shared" si="84"/>
        <v>392105.93690255558</v>
      </c>
      <c r="HJ369" s="429">
        <f t="shared" si="79"/>
        <v>48910903.069173105</v>
      </c>
      <c r="HK369" s="429">
        <f t="shared" si="80"/>
        <v>58061606.033611111</v>
      </c>
      <c r="HL369" s="429" t="str">
        <f>IF(HM369=Reference!$I$12,(HF369-GV369),"")</f>
        <v/>
      </c>
      <c r="HM369" s="429" t="str">
        <f>Reference!I369</f>
        <v/>
      </c>
      <c r="HN369" s="429" t="str">
        <f t="shared" si="85"/>
        <v/>
      </c>
    </row>
    <row r="370" spans="189:222" ht="17.25" customHeight="1" x14ac:dyDescent="0.35">
      <c r="GG370" s="432"/>
      <c r="GJ370" s="429" t="str">
        <f>IF(GK370=$GJ$15,$GJ$15,IF(GJ$24=HF$4,SUM(GK$25:GK370),SUM(GL$25:GL370)))</f>
        <v>N</v>
      </c>
      <c r="GK370" s="438" t="str">
        <f>IFERROR('!!'!G370-'!!'!D370,$GJ$15)</f>
        <v>N</v>
      </c>
      <c r="GL370" s="429" t="str">
        <f t="shared" si="81"/>
        <v>N</v>
      </c>
      <c r="GM370" s="438">
        <f>IFERROR(('!!'!$D370)*('!!'!W370/('!!'!$G370)),0)</f>
        <v>0</v>
      </c>
      <c r="GN370" s="438">
        <f>IFERROR(('!!'!$D370)*('!!'!X370/('!!'!$G370)),0)</f>
        <v>0</v>
      </c>
      <c r="GO370" s="438">
        <f>IFERROR(('!!'!$D370)*('!!'!Y370/('!!'!$G370)),0)</f>
        <v>0</v>
      </c>
      <c r="GP370" s="438">
        <f>IFERROR(('!!'!$D370)*('!!'!Z369/('!!'!$G370)),0)</f>
        <v>0</v>
      </c>
      <c r="GQ370" s="438">
        <f>IFERROR(('!!'!$D370)*('!!'!Q370/('!!'!$G370)),0)</f>
        <v>0</v>
      </c>
      <c r="GR370" s="429">
        <v>1</v>
      </c>
      <c r="GS370" s="429">
        <v>2</v>
      </c>
      <c r="GT370" s="432">
        <f>Monitoring!C370</f>
        <v>0</v>
      </c>
      <c r="GU370" s="432">
        <f>Reference!$C370</f>
        <v>0</v>
      </c>
      <c r="GV370" s="429">
        <f>Reference!$D370</f>
        <v>0</v>
      </c>
      <c r="GW370" s="440">
        <f t="shared" si="87"/>
        <v>0</v>
      </c>
      <c r="GX370" s="440">
        <f t="shared" si="87"/>
        <v>0</v>
      </c>
      <c r="GY370" s="440">
        <f t="shared" si="87"/>
        <v>0</v>
      </c>
      <c r="GZ370" s="440">
        <f t="shared" si="87"/>
        <v>0</v>
      </c>
      <c r="HA370" s="440"/>
      <c r="HB370" s="440"/>
      <c r="HC370" s="440"/>
      <c r="HD370" s="440"/>
      <c r="HE370" s="429">
        <f t="shared" si="82"/>
        <v>346</v>
      </c>
      <c r="HF370" s="429">
        <f>SUM(GW370*Baseline!$P$24,GX370*Baseline!$P$25,GY370*Baseline!$P$26,GZ370*Baseline!$P$27,HA370*Baseline!$P$28,HB370*Baseline!$P$29,HC370*Baseline!$P$30,HD370*Baseline!$P$31,Baseline!$P$23)</f>
        <v>626.18362874044828</v>
      </c>
      <c r="HG370" s="455" t="e">
        <f t="shared" si="83"/>
        <v>#DIV/0!</v>
      </c>
      <c r="HH370" s="429" t="e">
        <f>IF(HG370&lt;=Baseline!$J$13,1,0)</f>
        <v>#DIV/0!</v>
      </c>
      <c r="HI370" s="429">
        <f t="shared" si="84"/>
        <v>392105.93690255558</v>
      </c>
      <c r="HJ370" s="429">
        <f t="shared" si="79"/>
        <v>48910903.069173105</v>
      </c>
      <c r="HK370" s="429">
        <f t="shared" si="80"/>
        <v>58061606.033611111</v>
      </c>
      <c r="HL370" s="429" t="str">
        <f>IF(HM370=Reference!$I$12,(HF370-GV370),"")</f>
        <v/>
      </c>
      <c r="HM370" s="429" t="str">
        <f>Reference!I370</f>
        <v/>
      </c>
      <c r="HN370" s="429" t="str">
        <f t="shared" si="85"/>
        <v/>
      </c>
    </row>
    <row r="371" spans="189:222" ht="17.25" customHeight="1" x14ac:dyDescent="0.35">
      <c r="GG371" s="432"/>
      <c r="GJ371" s="429" t="str">
        <f>IF(GK371=$GJ$15,$GJ$15,IF(GJ$24=HF$4,SUM(GK$25:GK371),SUM(GL$25:GL371)))</f>
        <v>N</v>
      </c>
      <c r="GK371" s="438" t="str">
        <f>IFERROR('!!'!G371-'!!'!D371,$GJ$15)</f>
        <v>N</v>
      </c>
      <c r="GL371" s="429" t="str">
        <f t="shared" si="81"/>
        <v>N</v>
      </c>
      <c r="GM371" s="438">
        <f>IFERROR(('!!'!$D371)*('!!'!W371/('!!'!$G371)),0)</f>
        <v>0</v>
      </c>
      <c r="GN371" s="438">
        <f>IFERROR(('!!'!$D371)*('!!'!X371/('!!'!$G371)),0)</f>
        <v>0</v>
      </c>
      <c r="GO371" s="438">
        <f>IFERROR(('!!'!$D371)*('!!'!Y371/('!!'!$G371)),0)</f>
        <v>0</v>
      </c>
      <c r="GP371" s="438">
        <f>IFERROR(('!!'!$D371)*('!!'!Z370/('!!'!$G371)),0)</f>
        <v>0</v>
      </c>
      <c r="GQ371" s="438">
        <f>IFERROR(('!!'!$D371)*('!!'!Q371/('!!'!$G371)),0)</f>
        <v>0</v>
      </c>
      <c r="GR371" s="429">
        <v>1</v>
      </c>
      <c r="GS371" s="429">
        <v>2</v>
      </c>
      <c r="GT371" s="432">
        <f>Monitoring!C371</f>
        <v>0</v>
      </c>
      <c r="GU371" s="432">
        <f>Reference!$C371</f>
        <v>0</v>
      </c>
      <c r="GV371" s="429">
        <f>Reference!$D371</f>
        <v>0</v>
      </c>
      <c r="GW371" s="440">
        <f t="shared" si="87"/>
        <v>0</v>
      </c>
      <c r="GX371" s="440">
        <f t="shared" si="87"/>
        <v>0</v>
      </c>
      <c r="GY371" s="440">
        <f t="shared" si="87"/>
        <v>0</v>
      </c>
      <c r="GZ371" s="440">
        <f t="shared" si="87"/>
        <v>0</v>
      </c>
      <c r="HA371" s="440"/>
      <c r="HB371" s="440"/>
      <c r="HC371" s="440"/>
      <c r="HD371" s="440"/>
      <c r="HE371" s="429">
        <f t="shared" si="82"/>
        <v>347</v>
      </c>
      <c r="HF371" s="429">
        <f>SUM(GW371*Baseline!$P$24,GX371*Baseline!$P$25,GY371*Baseline!$P$26,GZ371*Baseline!$P$27,HA371*Baseline!$P$28,HB371*Baseline!$P$29,HC371*Baseline!$P$30,HD371*Baseline!$P$31,Baseline!$P$23)</f>
        <v>626.18362874044828</v>
      </c>
      <c r="HG371" s="455" t="e">
        <f t="shared" si="83"/>
        <v>#DIV/0!</v>
      </c>
      <c r="HH371" s="429" t="e">
        <f>IF(HG371&lt;=Baseline!$J$13,1,0)</f>
        <v>#DIV/0!</v>
      </c>
      <c r="HI371" s="429">
        <f t="shared" si="84"/>
        <v>392105.93690255558</v>
      </c>
      <c r="HJ371" s="429">
        <f t="shared" si="79"/>
        <v>48910903.069173105</v>
      </c>
      <c r="HK371" s="429">
        <f t="shared" si="80"/>
        <v>58061606.033611111</v>
      </c>
      <c r="HL371" s="429" t="str">
        <f>IF(HM371=Reference!$I$12,(HF371-GV371),"")</f>
        <v/>
      </c>
      <c r="HM371" s="429" t="str">
        <f>Reference!I371</f>
        <v/>
      </c>
      <c r="HN371" s="429" t="str">
        <f t="shared" si="85"/>
        <v/>
      </c>
    </row>
    <row r="372" spans="189:222" ht="17.25" customHeight="1" x14ac:dyDescent="0.35">
      <c r="GG372" s="432"/>
      <c r="GJ372" s="429" t="str">
        <f>IF(GK372=$GJ$15,$GJ$15,IF(GJ$24=HF$4,SUM(GK$25:GK372),SUM(GL$25:GL372)))</f>
        <v>N</v>
      </c>
      <c r="GK372" s="438" t="str">
        <f>IFERROR('!!'!G372-'!!'!D372,$GJ$15)</f>
        <v>N</v>
      </c>
      <c r="GL372" s="429" t="str">
        <f t="shared" si="81"/>
        <v>N</v>
      </c>
      <c r="GM372" s="438">
        <f>IFERROR(('!!'!$D372)*('!!'!W372/('!!'!$G372)),0)</f>
        <v>0</v>
      </c>
      <c r="GN372" s="438">
        <f>IFERROR(('!!'!$D372)*('!!'!X372/('!!'!$G372)),0)</f>
        <v>0</v>
      </c>
      <c r="GO372" s="438">
        <f>IFERROR(('!!'!$D372)*('!!'!Y372/('!!'!$G372)),0)</f>
        <v>0</v>
      </c>
      <c r="GP372" s="438">
        <f>IFERROR(('!!'!$D372)*('!!'!Z371/('!!'!$G372)),0)</f>
        <v>0</v>
      </c>
      <c r="GQ372" s="438">
        <f>IFERROR(('!!'!$D372)*('!!'!Q372/('!!'!$G372)),0)</f>
        <v>0</v>
      </c>
      <c r="GR372" s="429">
        <v>1</v>
      </c>
      <c r="GS372" s="429">
        <v>2</v>
      </c>
      <c r="GT372" s="432">
        <f>Monitoring!C372</f>
        <v>0</v>
      </c>
      <c r="GU372" s="432">
        <f>Reference!$C372</f>
        <v>0</v>
      </c>
      <c r="GV372" s="429">
        <f>Reference!$D372</f>
        <v>0</v>
      </c>
      <c r="GW372" s="440">
        <f t="shared" si="87"/>
        <v>0</v>
      </c>
      <c r="GX372" s="440">
        <f t="shared" si="87"/>
        <v>0</v>
      </c>
      <c r="GY372" s="440">
        <f t="shared" si="87"/>
        <v>0</v>
      </c>
      <c r="GZ372" s="440">
        <f t="shared" si="87"/>
        <v>0</v>
      </c>
      <c r="HA372" s="440"/>
      <c r="HB372" s="440"/>
      <c r="HC372" s="440"/>
      <c r="HD372" s="440"/>
      <c r="HE372" s="429">
        <f t="shared" si="82"/>
        <v>348</v>
      </c>
      <c r="HF372" s="429">
        <f>SUM(GW372*Baseline!$P$24,GX372*Baseline!$P$25,GY372*Baseline!$P$26,GZ372*Baseline!$P$27,HA372*Baseline!$P$28,HB372*Baseline!$P$29,HC372*Baseline!$P$30,HD372*Baseline!$P$31,Baseline!$P$23)</f>
        <v>626.18362874044828</v>
      </c>
      <c r="HG372" s="455" t="e">
        <f t="shared" si="83"/>
        <v>#DIV/0!</v>
      </c>
      <c r="HH372" s="429" t="e">
        <f>IF(HG372&lt;=Baseline!$J$13,1,0)</f>
        <v>#DIV/0!</v>
      </c>
      <c r="HI372" s="429">
        <f t="shared" si="84"/>
        <v>392105.93690255558</v>
      </c>
      <c r="HJ372" s="429">
        <f t="shared" si="79"/>
        <v>48910903.069173105</v>
      </c>
      <c r="HK372" s="429">
        <f t="shared" si="80"/>
        <v>58061606.033611111</v>
      </c>
      <c r="HL372" s="429" t="str">
        <f>IF(HM372=Reference!$I$12,(HF372-GV372),"")</f>
        <v/>
      </c>
      <c r="HM372" s="429" t="str">
        <f>Reference!I372</f>
        <v/>
      </c>
      <c r="HN372" s="429" t="str">
        <f t="shared" si="85"/>
        <v/>
      </c>
    </row>
    <row r="373" spans="189:222" ht="17.25" customHeight="1" x14ac:dyDescent="0.35">
      <c r="GG373" s="432"/>
      <c r="GJ373" s="429" t="str">
        <f>IF(GK373=$GJ$15,$GJ$15,IF(GJ$24=HF$4,SUM(GK$25:GK373),SUM(GL$25:GL373)))</f>
        <v>N</v>
      </c>
      <c r="GK373" s="438" t="str">
        <f>IFERROR('!!'!G373-'!!'!D373,$GJ$15)</f>
        <v>N</v>
      </c>
      <c r="GL373" s="429" t="str">
        <f t="shared" si="81"/>
        <v>N</v>
      </c>
      <c r="GM373" s="438">
        <f>IFERROR(('!!'!$D373)*('!!'!W373/('!!'!$G373)),0)</f>
        <v>0</v>
      </c>
      <c r="GN373" s="438">
        <f>IFERROR(('!!'!$D373)*('!!'!X373/('!!'!$G373)),0)</f>
        <v>0</v>
      </c>
      <c r="GO373" s="438">
        <f>IFERROR(('!!'!$D373)*('!!'!Y373/('!!'!$G373)),0)</f>
        <v>0</v>
      </c>
      <c r="GP373" s="438">
        <f>IFERROR(('!!'!$D373)*('!!'!Z372/('!!'!$G373)),0)</f>
        <v>0</v>
      </c>
      <c r="GQ373" s="438">
        <f>IFERROR(('!!'!$D373)*('!!'!Q373/('!!'!$G373)),0)</f>
        <v>0</v>
      </c>
      <c r="GR373" s="429">
        <v>1</v>
      </c>
      <c r="GS373" s="429">
        <v>2</v>
      </c>
      <c r="GT373" s="432">
        <f>Monitoring!C373</f>
        <v>0</v>
      </c>
      <c r="GU373" s="432">
        <f>Reference!$C373</f>
        <v>0</v>
      </c>
      <c r="GV373" s="429">
        <f>Reference!$D373</f>
        <v>0</v>
      </c>
      <c r="GW373" s="440">
        <f t="shared" si="87"/>
        <v>0</v>
      </c>
      <c r="GX373" s="440">
        <f t="shared" si="87"/>
        <v>0</v>
      </c>
      <c r="GY373" s="440">
        <f t="shared" si="87"/>
        <v>0</v>
      </c>
      <c r="GZ373" s="440">
        <f t="shared" si="87"/>
        <v>0</v>
      </c>
      <c r="HA373" s="440"/>
      <c r="HB373" s="440"/>
      <c r="HC373" s="440"/>
      <c r="HD373" s="440"/>
      <c r="HE373" s="429">
        <f t="shared" si="82"/>
        <v>349</v>
      </c>
      <c r="HF373" s="429">
        <f>SUM(GW373*Baseline!$P$24,GX373*Baseline!$P$25,GY373*Baseline!$P$26,GZ373*Baseline!$P$27,HA373*Baseline!$P$28,HB373*Baseline!$P$29,HC373*Baseline!$P$30,HD373*Baseline!$P$31,Baseline!$P$23)</f>
        <v>626.18362874044828</v>
      </c>
      <c r="HG373" s="455" t="e">
        <f t="shared" si="83"/>
        <v>#DIV/0!</v>
      </c>
      <c r="HH373" s="429" t="e">
        <f>IF(HG373&lt;=Baseline!$J$13,1,0)</f>
        <v>#DIV/0!</v>
      </c>
      <c r="HI373" s="429">
        <f t="shared" si="84"/>
        <v>392105.93690255558</v>
      </c>
      <c r="HJ373" s="429">
        <f t="shared" si="79"/>
        <v>48910903.069173105</v>
      </c>
      <c r="HK373" s="429">
        <f t="shared" si="80"/>
        <v>58061606.033611111</v>
      </c>
      <c r="HL373" s="429" t="str">
        <f>IF(HM373=Reference!$I$12,(HF373-GV373),"")</f>
        <v/>
      </c>
      <c r="HM373" s="429" t="str">
        <f>Reference!I373</f>
        <v/>
      </c>
      <c r="HN373" s="429" t="str">
        <f t="shared" si="85"/>
        <v/>
      </c>
    </row>
    <row r="374" spans="189:222" ht="17.25" customHeight="1" x14ac:dyDescent="0.35">
      <c r="GG374" s="432"/>
      <c r="GJ374" s="429" t="str">
        <f>IF(GK374=$GJ$15,$GJ$15,IF(GJ$24=HF$4,SUM(GK$25:GK374),SUM(GL$25:GL374)))</f>
        <v>N</v>
      </c>
      <c r="GK374" s="438" t="str">
        <f>IFERROR('!!'!G374-'!!'!D374,$GJ$15)</f>
        <v>N</v>
      </c>
      <c r="GL374" s="429" t="str">
        <f t="shared" si="81"/>
        <v>N</v>
      </c>
      <c r="GM374" s="438">
        <f>IFERROR(('!!'!$D374)*('!!'!W374/('!!'!$G374)),0)</f>
        <v>0</v>
      </c>
      <c r="GN374" s="438">
        <f>IFERROR(('!!'!$D374)*('!!'!X374/('!!'!$G374)),0)</f>
        <v>0</v>
      </c>
      <c r="GO374" s="438">
        <f>IFERROR(('!!'!$D374)*('!!'!Y374/('!!'!$G374)),0)</f>
        <v>0</v>
      </c>
      <c r="GP374" s="438">
        <f>IFERROR(('!!'!$D374)*('!!'!Z373/('!!'!$G374)),0)</f>
        <v>0</v>
      </c>
      <c r="GQ374" s="438">
        <f>IFERROR(('!!'!$D374)*('!!'!Q374/('!!'!$G374)),0)</f>
        <v>0</v>
      </c>
      <c r="GR374" s="429">
        <v>1</v>
      </c>
      <c r="GS374" s="429">
        <v>2</v>
      </c>
      <c r="GT374" s="432">
        <f>Monitoring!C374</f>
        <v>0</v>
      </c>
      <c r="GU374" s="432">
        <f>Reference!$C374</f>
        <v>0</v>
      </c>
      <c r="GV374" s="429">
        <f>Reference!$D374</f>
        <v>0</v>
      </c>
      <c r="GW374" s="440">
        <f t="shared" si="87"/>
        <v>0</v>
      </c>
      <c r="GX374" s="440">
        <f t="shared" si="87"/>
        <v>0</v>
      </c>
      <c r="GY374" s="440">
        <f t="shared" si="87"/>
        <v>0</v>
      </c>
      <c r="GZ374" s="440">
        <f t="shared" si="87"/>
        <v>0</v>
      </c>
      <c r="HA374" s="440"/>
      <c r="HB374" s="440"/>
      <c r="HC374" s="440"/>
      <c r="HD374" s="440"/>
      <c r="HE374" s="429">
        <f t="shared" si="82"/>
        <v>350</v>
      </c>
      <c r="HF374" s="429">
        <f>SUM(GW374*Baseline!$P$24,GX374*Baseline!$P$25,GY374*Baseline!$P$26,GZ374*Baseline!$P$27,HA374*Baseline!$P$28,HB374*Baseline!$P$29,HC374*Baseline!$P$30,HD374*Baseline!$P$31,Baseline!$P$23)</f>
        <v>626.18362874044828</v>
      </c>
      <c r="HG374" s="455" t="e">
        <f t="shared" si="83"/>
        <v>#DIV/0!</v>
      </c>
      <c r="HH374" s="429" t="e">
        <f>IF(HG374&lt;=Baseline!$J$13,1,0)</f>
        <v>#DIV/0!</v>
      </c>
      <c r="HI374" s="429">
        <f t="shared" si="84"/>
        <v>392105.93690255558</v>
      </c>
      <c r="HJ374" s="429">
        <f t="shared" si="79"/>
        <v>48910903.069173105</v>
      </c>
      <c r="HK374" s="429">
        <f t="shared" si="80"/>
        <v>58061606.033611111</v>
      </c>
      <c r="HL374" s="429" t="str">
        <f>IF(HM374=Reference!$I$12,(HF374-GV374),"")</f>
        <v/>
      </c>
      <c r="HM374" s="429" t="str">
        <f>Reference!I374</f>
        <v/>
      </c>
      <c r="HN374" s="429" t="str">
        <f t="shared" si="85"/>
        <v/>
      </c>
    </row>
    <row r="375" spans="189:222" ht="17.25" customHeight="1" x14ac:dyDescent="0.35">
      <c r="GG375" s="432"/>
      <c r="GJ375" s="429" t="str">
        <f>IF(GK375=$GJ$15,$GJ$15,IF(GJ$24=HF$4,SUM(GK$25:GK375),SUM(GL$25:GL375)))</f>
        <v>N</v>
      </c>
      <c r="GK375" s="438" t="str">
        <f>IFERROR('!!'!G375-'!!'!D375,$GJ$15)</f>
        <v>N</v>
      </c>
      <c r="GL375" s="429" t="str">
        <f t="shared" si="81"/>
        <v>N</v>
      </c>
      <c r="GM375" s="438">
        <f>IFERROR(('!!'!$D375)*('!!'!W375/('!!'!$G375)),0)</f>
        <v>0</v>
      </c>
      <c r="GN375" s="438">
        <f>IFERROR(('!!'!$D375)*('!!'!X375/('!!'!$G375)),0)</f>
        <v>0</v>
      </c>
      <c r="GO375" s="438">
        <f>IFERROR(('!!'!$D375)*('!!'!Y375/('!!'!$G375)),0)</f>
        <v>0</v>
      </c>
      <c r="GP375" s="438">
        <f>IFERROR(('!!'!$D375)*('!!'!Z374/('!!'!$G375)),0)</f>
        <v>0</v>
      </c>
      <c r="GQ375" s="438">
        <f>IFERROR(('!!'!$D375)*('!!'!Q375/('!!'!$G375)),0)</f>
        <v>0</v>
      </c>
      <c r="GR375" s="429">
        <v>1</v>
      </c>
      <c r="GS375" s="429">
        <v>2</v>
      </c>
      <c r="GT375" s="432">
        <f>Monitoring!C375</f>
        <v>0</v>
      </c>
      <c r="GU375" s="432">
        <f>Reference!$C375</f>
        <v>0</v>
      </c>
      <c r="GV375" s="429">
        <f>Reference!$D375</f>
        <v>0</v>
      </c>
      <c r="GW375" s="440">
        <f t="shared" ref="GW375:GZ384" si="88">IFERROR(VLOOKUP($GU375,Daten.B,GW$22,FALSE)^GW$23,0)</f>
        <v>0</v>
      </c>
      <c r="GX375" s="440">
        <f t="shared" si="88"/>
        <v>0</v>
      </c>
      <c r="GY375" s="440">
        <f t="shared" si="88"/>
        <v>0</v>
      </c>
      <c r="GZ375" s="440">
        <f t="shared" si="88"/>
        <v>0</v>
      </c>
      <c r="HA375" s="440"/>
      <c r="HB375" s="440"/>
      <c r="HC375" s="440"/>
      <c r="HD375" s="440"/>
      <c r="HE375" s="429">
        <f t="shared" si="82"/>
        <v>351</v>
      </c>
      <c r="HF375" s="429">
        <f>SUM(GW375*Baseline!$P$24,GX375*Baseline!$P$25,GY375*Baseline!$P$26,GZ375*Baseline!$P$27,HA375*Baseline!$P$28,HB375*Baseline!$P$29,HC375*Baseline!$P$30,HD375*Baseline!$P$31,Baseline!$P$23)</f>
        <v>626.18362874044828</v>
      </c>
      <c r="HG375" s="455" t="e">
        <f t="shared" si="83"/>
        <v>#DIV/0!</v>
      </c>
      <c r="HH375" s="429" t="e">
        <f>IF(HG375&lt;=Baseline!$J$13,1,0)</f>
        <v>#DIV/0!</v>
      </c>
      <c r="HI375" s="429">
        <f t="shared" si="84"/>
        <v>392105.93690255558</v>
      </c>
      <c r="HJ375" s="429">
        <f t="shared" si="79"/>
        <v>48910903.069173105</v>
      </c>
      <c r="HK375" s="429">
        <f t="shared" si="80"/>
        <v>58061606.033611111</v>
      </c>
      <c r="HL375" s="429" t="str">
        <f>IF(HM375=Reference!$I$12,(HF375-GV375),"")</f>
        <v/>
      </c>
      <c r="HM375" s="429" t="str">
        <f>Reference!I375</f>
        <v/>
      </c>
      <c r="HN375" s="429" t="str">
        <f t="shared" si="85"/>
        <v/>
      </c>
    </row>
    <row r="376" spans="189:222" ht="17.25" customHeight="1" x14ac:dyDescent="0.35">
      <c r="GG376" s="432"/>
      <c r="GJ376" s="429" t="str">
        <f>IF(GK376=$GJ$15,$GJ$15,IF(GJ$24=HF$4,SUM(GK$25:GK376),SUM(GL$25:GL376)))</f>
        <v>N</v>
      </c>
      <c r="GK376" s="438" t="str">
        <f>IFERROR('!!'!G376-'!!'!D376,$GJ$15)</f>
        <v>N</v>
      </c>
      <c r="GL376" s="429" t="str">
        <f t="shared" si="81"/>
        <v>N</v>
      </c>
      <c r="GM376" s="438">
        <f>IFERROR(('!!'!$D376)*('!!'!W376/('!!'!$G376)),0)</f>
        <v>0</v>
      </c>
      <c r="GN376" s="438">
        <f>IFERROR(('!!'!$D376)*('!!'!X376/('!!'!$G376)),0)</f>
        <v>0</v>
      </c>
      <c r="GO376" s="438">
        <f>IFERROR(('!!'!$D376)*('!!'!Y376/('!!'!$G376)),0)</f>
        <v>0</v>
      </c>
      <c r="GP376" s="438">
        <f>IFERROR(('!!'!$D376)*('!!'!Z375/('!!'!$G376)),0)</f>
        <v>0</v>
      </c>
      <c r="GQ376" s="438">
        <f>IFERROR(('!!'!$D376)*('!!'!Q376/('!!'!$G376)),0)</f>
        <v>0</v>
      </c>
      <c r="GR376" s="429">
        <v>1</v>
      </c>
      <c r="GS376" s="429">
        <v>2</v>
      </c>
      <c r="GT376" s="432">
        <f>Monitoring!C376</f>
        <v>0</v>
      </c>
      <c r="GU376" s="432">
        <f>Reference!$C376</f>
        <v>0</v>
      </c>
      <c r="GV376" s="429">
        <f>Reference!$D376</f>
        <v>0</v>
      </c>
      <c r="GW376" s="440">
        <f t="shared" si="88"/>
        <v>0</v>
      </c>
      <c r="GX376" s="440">
        <f t="shared" si="88"/>
        <v>0</v>
      </c>
      <c r="GY376" s="440">
        <f t="shared" si="88"/>
        <v>0</v>
      </c>
      <c r="GZ376" s="440">
        <f t="shared" si="88"/>
        <v>0</v>
      </c>
      <c r="HA376" s="440"/>
      <c r="HB376" s="440"/>
      <c r="HC376" s="440"/>
      <c r="HD376" s="440"/>
      <c r="HE376" s="429">
        <f t="shared" si="82"/>
        <v>352</v>
      </c>
      <c r="HF376" s="429">
        <f>SUM(GW376*Baseline!$P$24,GX376*Baseline!$P$25,GY376*Baseline!$P$26,GZ376*Baseline!$P$27,HA376*Baseline!$P$28,HB376*Baseline!$P$29,HC376*Baseline!$P$30,HD376*Baseline!$P$31,Baseline!$P$23)</f>
        <v>626.18362874044828</v>
      </c>
      <c r="HG376" s="455" t="e">
        <f t="shared" si="83"/>
        <v>#DIV/0!</v>
      </c>
      <c r="HH376" s="429" t="e">
        <f>IF(HG376&lt;=Baseline!$J$13,1,0)</f>
        <v>#DIV/0!</v>
      </c>
      <c r="HI376" s="429">
        <f t="shared" si="84"/>
        <v>392105.93690255558</v>
      </c>
      <c r="HJ376" s="429">
        <f t="shared" si="79"/>
        <v>48910903.069173105</v>
      </c>
      <c r="HK376" s="429">
        <f t="shared" si="80"/>
        <v>58061606.033611111</v>
      </c>
      <c r="HL376" s="429" t="str">
        <f>IF(HM376=Reference!$I$12,(HF376-GV376),"")</f>
        <v/>
      </c>
      <c r="HM376" s="429" t="str">
        <f>Reference!I376</f>
        <v/>
      </c>
      <c r="HN376" s="429" t="str">
        <f t="shared" si="85"/>
        <v/>
      </c>
    </row>
    <row r="377" spans="189:222" ht="17.25" customHeight="1" x14ac:dyDescent="0.35">
      <c r="GG377" s="432"/>
      <c r="GJ377" s="429" t="str">
        <f>IF(GK377=$GJ$15,$GJ$15,IF(GJ$24=HF$4,SUM(GK$25:GK377),SUM(GL$25:GL377)))</f>
        <v>N</v>
      </c>
      <c r="GK377" s="438" t="str">
        <f>IFERROR('!!'!G377-'!!'!D377,$GJ$15)</f>
        <v>N</v>
      </c>
      <c r="GL377" s="429" t="str">
        <f t="shared" si="81"/>
        <v>N</v>
      </c>
      <c r="GM377" s="438">
        <f>IFERROR(('!!'!$D377)*('!!'!W377/('!!'!$G377)),0)</f>
        <v>0</v>
      </c>
      <c r="GN377" s="438">
        <f>IFERROR(('!!'!$D377)*('!!'!X377/('!!'!$G377)),0)</f>
        <v>0</v>
      </c>
      <c r="GO377" s="438">
        <f>IFERROR(('!!'!$D377)*('!!'!Y377/('!!'!$G377)),0)</f>
        <v>0</v>
      </c>
      <c r="GP377" s="438">
        <f>IFERROR(('!!'!$D377)*('!!'!Z376/('!!'!$G377)),0)</f>
        <v>0</v>
      </c>
      <c r="GQ377" s="438">
        <f>IFERROR(('!!'!$D377)*('!!'!Q377/('!!'!$G377)),0)</f>
        <v>0</v>
      </c>
      <c r="GR377" s="429">
        <v>1</v>
      </c>
      <c r="GS377" s="429">
        <v>2</v>
      </c>
      <c r="GT377" s="432">
        <f>Monitoring!C377</f>
        <v>0</v>
      </c>
      <c r="GU377" s="432">
        <f>Reference!$C377</f>
        <v>0</v>
      </c>
      <c r="GV377" s="429">
        <f>Reference!$D377</f>
        <v>0</v>
      </c>
      <c r="GW377" s="440">
        <f t="shared" si="88"/>
        <v>0</v>
      </c>
      <c r="GX377" s="440">
        <f t="shared" si="88"/>
        <v>0</v>
      </c>
      <c r="GY377" s="440">
        <f t="shared" si="88"/>
        <v>0</v>
      </c>
      <c r="GZ377" s="440">
        <f t="shared" si="88"/>
        <v>0</v>
      </c>
      <c r="HA377" s="440"/>
      <c r="HB377" s="440"/>
      <c r="HC377" s="440"/>
      <c r="HD377" s="440"/>
      <c r="HE377" s="429">
        <f t="shared" si="82"/>
        <v>353</v>
      </c>
      <c r="HF377" s="429">
        <f>SUM(GW377*Baseline!$P$24,GX377*Baseline!$P$25,GY377*Baseline!$P$26,GZ377*Baseline!$P$27,HA377*Baseline!$P$28,HB377*Baseline!$P$29,HC377*Baseline!$P$30,HD377*Baseline!$P$31,Baseline!$P$23)</f>
        <v>626.18362874044828</v>
      </c>
      <c r="HG377" s="455" t="e">
        <f t="shared" si="83"/>
        <v>#DIV/0!</v>
      </c>
      <c r="HH377" s="429" t="e">
        <f>IF(HG377&lt;=Baseline!$J$13,1,0)</f>
        <v>#DIV/0!</v>
      </c>
      <c r="HI377" s="429">
        <f t="shared" si="84"/>
        <v>392105.93690255558</v>
      </c>
      <c r="HJ377" s="429">
        <f t="shared" si="79"/>
        <v>48910903.069173105</v>
      </c>
      <c r="HK377" s="429">
        <f t="shared" si="80"/>
        <v>58061606.033611111</v>
      </c>
      <c r="HL377" s="429" t="str">
        <f>IF(HM377=Reference!$I$12,(HF377-GV377),"")</f>
        <v/>
      </c>
      <c r="HM377" s="429" t="str">
        <f>Reference!I377</f>
        <v/>
      </c>
      <c r="HN377" s="429" t="str">
        <f t="shared" si="85"/>
        <v/>
      </c>
    </row>
    <row r="378" spans="189:222" ht="17.25" customHeight="1" x14ac:dyDescent="0.35">
      <c r="GG378" s="432"/>
      <c r="GJ378" s="429" t="str">
        <f>IF(GK378=$GJ$15,$GJ$15,IF(GJ$24=HF$4,SUM(GK$25:GK378),SUM(GL$25:GL378)))</f>
        <v>N</v>
      </c>
      <c r="GK378" s="438" t="str">
        <f>IFERROR('!!'!G378-'!!'!D378,$GJ$15)</f>
        <v>N</v>
      </c>
      <c r="GL378" s="429" t="str">
        <f t="shared" si="81"/>
        <v>N</v>
      </c>
      <c r="GM378" s="438">
        <f>IFERROR(('!!'!$D378)*('!!'!W378/('!!'!$G378)),0)</f>
        <v>0</v>
      </c>
      <c r="GN378" s="438">
        <f>IFERROR(('!!'!$D378)*('!!'!X378/('!!'!$G378)),0)</f>
        <v>0</v>
      </c>
      <c r="GO378" s="438">
        <f>IFERROR(('!!'!$D378)*('!!'!Y378/('!!'!$G378)),0)</f>
        <v>0</v>
      </c>
      <c r="GP378" s="438">
        <f>IFERROR(('!!'!$D378)*('!!'!Z377/('!!'!$G378)),0)</f>
        <v>0</v>
      </c>
      <c r="GQ378" s="438">
        <f>IFERROR(('!!'!$D378)*('!!'!Q378/('!!'!$G378)),0)</f>
        <v>0</v>
      </c>
      <c r="GR378" s="429">
        <v>1</v>
      </c>
      <c r="GS378" s="429">
        <v>2</v>
      </c>
      <c r="GT378" s="432">
        <f>Monitoring!C378</f>
        <v>0</v>
      </c>
      <c r="GU378" s="432">
        <f>Reference!$C378</f>
        <v>0</v>
      </c>
      <c r="GV378" s="429">
        <f>Reference!$D378</f>
        <v>0</v>
      </c>
      <c r="GW378" s="440">
        <f t="shared" si="88"/>
        <v>0</v>
      </c>
      <c r="GX378" s="440">
        <f t="shared" si="88"/>
        <v>0</v>
      </c>
      <c r="GY378" s="440">
        <f t="shared" si="88"/>
        <v>0</v>
      </c>
      <c r="GZ378" s="440">
        <f t="shared" si="88"/>
        <v>0</v>
      </c>
      <c r="HA378" s="440"/>
      <c r="HB378" s="440"/>
      <c r="HC378" s="440"/>
      <c r="HD378" s="440"/>
      <c r="HE378" s="429">
        <f t="shared" si="82"/>
        <v>354</v>
      </c>
      <c r="HF378" s="429">
        <f>SUM(GW378*Baseline!$P$24,GX378*Baseline!$P$25,GY378*Baseline!$P$26,GZ378*Baseline!$P$27,HA378*Baseline!$P$28,HB378*Baseline!$P$29,HC378*Baseline!$P$30,HD378*Baseline!$P$31,Baseline!$P$23)</f>
        <v>626.18362874044828</v>
      </c>
      <c r="HG378" s="455" t="e">
        <f t="shared" si="83"/>
        <v>#DIV/0!</v>
      </c>
      <c r="HH378" s="429" t="e">
        <f>IF(HG378&lt;=Baseline!$J$13,1,0)</f>
        <v>#DIV/0!</v>
      </c>
      <c r="HI378" s="429">
        <f t="shared" si="84"/>
        <v>392105.93690255558</v>
      </c>
      <c r="HJ378" s="429">
        <f t="shared" si="79"/>
        <v>48910903.069173105</v>
      </c>
      <c r="HK378" s="429">
        <f t="shared" si="80"/>
        <v>58061606.033611111</v>
      </c>
      <c r="HL378" s="429" t="str">
        <f>IF(HM378=Reference!$I$12,(HF378-GV378),"")</f>
        <v/>
      </c>
      <c r="HM378" s="429" t="str">
        <f>Reference!I378</f>
        <v/>
      </c>
      <c r="HN378" s="429" t="str">
        <f t="shared" si="85"/>
        <v/>
      </c>
    </row>
    <row r="379" spans="189:222" ht="17.25" customHeight="1" x14ac:dyDescent="0.35">
      <c r="GG379" s="432"/>
      <c r="GJ379" s="429" t="str">
        <f>IF(GK379=$GJ$15,$GJ$15,IF(GJ$24=HF$4,SUM(GK$25:GK379),SUM(GL$25:GL379)))</f>
        <v>N</v>
      </c>
      <c r="GK379" s="438" t="str">
        <f>IFERROR('!!'!G379-'!!'!D379,$GJ$15)</f>
        <v>N</v>
      </c>
      <c r="GL379" s="429" t="str">
        <f t="shared" si="81"/>
        <v>N</v>
      </c>
      <c r="GM379" s="438">
        <f>IFERROR(('!!'!$D379)*('!!'!W379/('!!'!$G379)),0)</f>
        <v>0</v>
      </c>
      <c r="GN379" s="438">
        <f>IFERROR(('!!'!$D379)*('!!'!X379/('!!'!$G379)),0)</f>
        <v>0</v>
      </c>
      <c r="GO379" s="438">
        <f>IFERROR(('!!'!$D379)*('!!'!Y379/('!!'!$G379)),0)</f>
        <v>0</v>
      </c>
      <c r="GP379" s="438">
        <f>IFERROR(('!!'!$D379)*('!!'!Z378/('!!'!$G379)),0)</f>
        <v>0</v>
      </c>
      <c r="GQ379" s="438">
        <f>IFERROR(('!!'!$D379)*('!!'!Q379/('!!'!$G379)),0)</f>
        <v>0</v>
      </c>
      <c r="GR379" s="429">
        <v>1</v>
      </c>
      <c r="GS379" s="429">
        <v>2</v>
      </c>
      <c r="GT379" s="432">
        <f>Monitoring!C379</f>
        <v>0</v>
      </c>
      <c r="GU379" s="432">
        <f>Reference!$C379</f>
        <v>0</v>
      </c>
      <c r="GV379" s="429">
        <f>Reference!$D379</f>
        <v>0</v>
      </c>
      <c r="GW379" s="440">
        <f t="shared" si="88"/>
        <v>0</v>
      </c>
      <c r="GX379" s="440">
        <f t="shared" si="88"/>
        <v>0</v>
      </c>
      <c r="GY379" s="440">
        <f t="shared" si="88"/>
        <v>0</v>
      </c>
      <c r="GZ379" s="440">
        <f t="shared" si="88"/>
        <v>0</v>
      </c>
      <c r="HA379" s="440"/>
      <c r="HB379" s="440"/>
      <c r="HC379" s="440"/>
      <c r="HD379" s="440"/>
      <c r="HE379" s="429">
        <f t="shared" si="82"/>
        <v>355</v>
      </c>
      <c r="HF379" s="429">
        <f>SUM(GW379*Baseline!$P$24,GX379*Baseline!$P$25,GY379*Baseline!$P$26,GZ379*Baseline!$P$27,HA379*Baseline!$P$28,HB379*Baseline!$P$29,HC379*Baseline!$P$30,HD379*Baseline!$P$31,Baseline!$P$23)</f>
        <v>626.18362874044828</v>
      </c>
      <c r="HG379" s="455" t="e">
        <f t="shared" si="83"/>
        <v>#DIV/0!</v>
      </c>
      <c r="HH379" s="429" t="e">
        <f>IF(HG379&lt;=Baseline!$J$13,1,0)</f>
        <v>#DIV/0!</v>
      </c>
      <c r="HI379" s="429">
        <f t="shared" si="84"/>
        <v>392105.93690255558</v>
      </c>
      <c r="HJ379" s="429">
        <f t="shared" si="79"/>
        <v>48910903.069173105</v>
      </c>
      <c r="HK379" s="429">
        <f t="shared" si="80"/>
        <v>58061606.033611111</v>
      </c>
      <c r="HL379" s="429" t="str">
        <f>IF(HM379=Reference!$I$12,(HF379-GV379),"")</f>
        <v/>
      </c>
      <c r="HM379" s="429" t="str">
        <f>Reference!I379</f>
        <v/>
      </c>
      <c r="HN379" s="429" t="str">
        <f t="shared" si="85"/>
        <v/>
      </c>
    </row>
    <row r="380" spans="189:222" ht="17.25" customHeight="1" x14ac:dyDescent="0.35">
      <c r="GG380" s="432"/>
      <c r="GJ380" s="429" t="str">
        <f>IF(GK380=$GJ$15,$GJ$15,IF(GJ$24=HF$4,SUM(GK$25:GK380),SUM(GL$25:GL380)))</f>
        <v>N</v>
      </c>
      <c r="GK380" s="438" t="str">
        <f>IFERROR('!!'!G380-'!!'!D380,$GJ$15)</f>
        <v>N</v>
      </c>
      <c r="GL380" s="429" t="str">
        <f t="shared" si="81"/>
        <v>N</v>
      </c>
      <c r="GM380" s="438">
        <f>IFERROR(('!!'!$D380)*('!!'!W380/('!!'!$G380)),0)</f>
        <v>0</v>
      </c>
      <c r="GN380" s="438">
        <f>IFERROR(('!!'!$D380)*('!!'!X380/('!!'!$G380)),0)</f>
        <v>0</v>
      </c>
      <c r="GO380" s="438">
        <f>IFERROR(('!!'!$D380)*('!!'!Y380/('!!'!$G380)),0)</f>
        <v>0</v>
      </c>
      <c r="GP380" s="438">
        <f>IFERROR(('!!'!$D380)*('!!'!Z379/('!!'!$G380)),0)</f>
        <v>0</v>
      </c>
      <c r="GQ380" s="438">
        <f>IFERROR(('!!'!$D380)*('!!'!Q380/('!!'!$G380)),0)</f>
        <v>0</v>
      </c>
      <c r="GR380" s="429">
        <v>1</v>
      </c>
      <c r="GS380" s="429">
        <v>2</v>
      </c>
      <c r="GT380" s="432">
        <f>Monitoring!C380</f>
        <v>0</v>
      </c>
      <c r="GU380" s="432">
        <f>Reference!$C380</f>
        <v>0</v>
      </c>
      <c r="GV380" s="429">
        <f>Reference!$D380</f>
        <v>0</v>
      </c>
      <c r="GW380" s="440">
        <f t="shared" si="88"/>
        <v>0</v>
      </c>
      <c r="GX380" s="440">
        <f t="shared" si="88"/>
        <v>0</v>
      </c>
      <c r="GY380" s="440">
        <f t="shared" si="88"/>
        <v>0</v>
      </c>
      <c r="GZ380" s="440">
        <f t="shared" si="88"/>
        <v>0</v>
      </c>
      <c r="HA380" s="440"/>
      <c r="HB380" s="440"/>
      <c r="HC380" s="440"/>
      <c r="HD380" s="440"/>
      <c r="HE380" s="429">
        <f t="shared" si="82"/>
        <v>356</v>
      </c>
      <c r="HF380" s="429">
        <f>SUM(GW380*Baseline!$P$24,GX380*Baseline!$P$25,GY380*Baseline!$P$26,GZ380*Baseline!$P$27,HA380*Baseline!$P$28,HB380*Baseline!$P$29,HC380*Baseline!$P$30,HD380*Baseline!$P$31,Baseline!$P$23)</f>
        <v>626.18362874044828</v>
      </c>
      <c r="HG380" s="455" t="e">
        <f t="shared" si="83"/>
        <v>#DIV/0!</v>
      </c>
      <c r="HH380" s="429" t="e">
        <f>IF(HG380&lt;=Baseline!$J$13,1,0)</f>
        <v>#DIV/0!</v>
      </c>
      <c r="HI380" s="429">
        <f t="shared" si="84"/>
        <v>392105.93690255558</v>
      </c>
      <c r="HJ380" s="429">
        <f t="shared" si="79"/>
        <v>48910903.069173105</v>
      </c>
      <c r="HK380" s="429">
        <f t="shared" si="80"/>
        <v>58061606.033611111</v>
      </c>
      <c r="HL380" s="429" t="str">
        <f>IF(HM380=Reference!$I$12,(HF380-GV380),"")</f>
        <v/>
      </c>
      <c r="HM380" s="429" t="str">
        <f>Reference!I380</f>
        <v/>
      </c>
      <c r="HN380" s="429" t="str">
        <f t="shared" si="85"/>
        <v/>
      </c>
    </row>
    <row r="381" spans="189:222" ht="17.25" customHeight="1" x14ac:dyDescent="0.35">
      <c r="GG381" s="432"/>
      <c r="GJ381" s="429" t="str">
        <f>IF(GK381=$GJ$15,$GJ$15,IF(GJ$24=HF$4,SUM(GK$25:GK381),SUM(GL$25:GL381)))</f>
        <v>N</v>
      </c>
      <c r="GK381" s="438" t="str">
        <f>IFERROR('!!'!G381-'!!'!D381,$GJ$15)</f>
        <v>N</v>
      </c>
      <c r="GL381" s="429" t="str">
        <f t="shared" si="81"/>
        <v>N</v>
      </c>
      <c r="GM381" s="438">
        <f>IFERROR(('!!'!$D381)*('!!'!W381/('!!'!$G381)),0)</f>
        <v>0</v>
      </c>
      <c r="GN381" s="438">
        <f>IFERROR(('!!'!$D381)*('!!'!X381/('!!'!$G381)),0)</f>
        <v>0</v>
      </c>
      <c r="GO381" s="438">
        <f>IFERROR(('!!'!$D381)*('!!'!Y381/('!!'!$G381)),0)</f>
        <v>0</v>
      </c>
      <c r="GP381" s="438">
        <f>IFERROR(('!!'!$D381)*('!!'!Z380/('!!'!$G381)),0)</f>
        <v>0</v>
      </c>
      <c r="GQ381" s="438">
        <f>IFERROR(('!!'!$D381)*('!!'!Q381/('!!'!$G381)),0)</f>
        <v>0</v>
      </c>
      <c r="GR381" s="429">
        <v>1</v>
      </c>
      <c r="GS381" s="429">
        <v>2</v>
      </c>
      <c r="GT381" s="432">
        <f>Monitoring!C381</f>
        <v>0</v>
      </c>
      <c r="GU381" s="432">
        <f>Reference!$C381</f>
        <v>0</v>
      </c>
      <c r="GV381" s="429">
        <f>Reference!$D381</f>
        <v>0</v>
      </c>
      <c r="GW381" s="440">
        <f t="shared" si="88"/>
        <v>0</v>
      </c>
      <c r="GX381" s="440">
        <f t="shared" si="88"/>
        <v>0</v>
      </c>
      <c r="GY381" s="440">
        <f t="shared" si="88"/>
        <v>0</v>
      </c>
      <c r="GZ381" s="440">
        <f t="shared" si="88"/>
        <v>0</v>
      </c>
      <c r="HA381" s="440"/>
      <c r="HB381" s="440"/>
      <c r="HC381" s="440"/>
      <c r="HD381" s="440"/>
      <c r="HE381" s="429">
        <f t="shared" si="82"/>
        <v>357</v>
      </c>
      <c r="HF381" s="429">
        <f>SUM(GW381*Baseline!$P$24,GX381*Baseline!$P$25,GY381*Baseline!$P$26,GZ381*Baseline!$P$27,HA381*Baseline!$P$28,HB381*Baseline!$P$29,HC381*Baseline!$P$30,HD381*Baseline!$P$31,Baseline!$P$23)</f>
        <v>626.18362874044828</v>
      </c>
      <c r="HG381" s="455" t="e">
        <f t="shared" si="83"/>
        <v>#DIV/0!</v>
      </c>
      <c r="HH381" s="429" t="e">
        <f>IF(HG381&lt;=Baseline!$J$13,1,0)</f>
        <v>#DIV/0!</v>
      </c>
      <c r="HI381" s="429">
        <f t="shared" si="84"/>
        <v>392105.93690255558</v>
      </c>
      <c r="HJ381" s="429">
        <f t="shared" si="79"/>
        <v>48910903.069173105</v>
      </c>
      <c r="HK381" s="429">
        <f t="shared" si="80"/>
        <v>58061606.033611111</v>
      </c>
      <c r="HL381" s="429" t="str">
        <f>IF(HM381=Reference!$I$12,(HF381-GV381),"")</f>
        <v/>
      </c>
      <c r="HM381" s="429" t="str">
        <f>Reference!I381</f>
        <v/>
      </c>
      <c r="HN381" s="429" t="str">
        <f t="shared" si="85"/>
        <v/>
      </c>
    </row>
    <row r="382" spans="189:222" ht="17.25" customHeight="1" x14ac:dyDescent="0.35">
      <c r="GG382" s="432"/>
      <c r="GJ382" s="429" t="str">
        <f>IF(GK382=$GJ$15,$GJ$15,IF(GJ$24=HF$4,SUM(GK$25:GK382),SUM(GL$25:GL382)))</f>
        <v>N</v>
      </c>
      <c r="GK382" s="438" t="str">
        <f>IFERROR('!!'!G382-'!!'!D382,$GJ$15)</f>
        <v>N</v>
      </c>
      <c r="GL382" s="429" t="str">
        <f t="shared" si="81"/>
        <v>N</v>
      </c>
      <c r="GM382" s="438">
        <f>IFERROR(('!!'!$D382)*('!!'!W382/('!!'!$G382)),0)</f>
        <v>0</v>
      </c>
      <c r="GN382" s="438">
        <f>IFERROR(('!!'!$D382)*('!!'!X382/('!!'!$G382)),0)</f>
        <v>0</v>
      </c>
      <c r="GO382" s="438">
        <f>IFERROR(('!!'!$D382)*('!!'!Y382/('!!'!$G382)),0)</f>
        <v>0</v>
      </c>
      <c r="GP382" s="438">
        <f>IFERROR(('!!'!$D382)*('!!'!Z381/('!!'!$G382)),0)</f>
        <v>0</v>
      </c>
      <c r="GQ382" s="438">
        <f>IFERROR(('!!'!$D382)*('!!'!Q382/('!!'!$G382)),0)</f>
        <v>0</v>
      </c>
      <c r="GR382" s="429">
        <v>1</v>
      </c>
      <c r="GS382" s="429">
        <v>2</v>
      </c>
      <c r="GT382" s="432">
        <f>Monitoring!C382</f>
        <v>0</v>
      </c>
      <c r="GU382" s="432">
        <f>Reference!$C382</f>
        <v>0</v>
      </c>
      <c r="GV382" s="429">
        <f>Reference!$D382</f>
        <v>0</v>
      </c>
      <c r="GW382" s="440">
        <f t="shared" si="88"/>
        <v>0</v>
      </c>
      <c r="GX382" s="440">
        <f t="shared" si="88"/>
        <v>0</v>
      </c>
      <c r="GY382" s="440">
        <f t="shared" si="88"/>
        <v>0</v>
      </c>
      <c r="GZ382" s="440">
        <f t="shared" si="88"/>
        <v>0</v>
      </c>
      <c r="HA382" s="440"/>
      <c r="HB382" s="440"/>
      <c r="HC382" s="440"/>
      <c r="HD382" s="440"/>
      <c r="HE382" s="429">
        <f t="shared" si="82"/>
        <v>358</v>
      </c>
      <c r="HF382" s="429">
        <f>SUM(GW382*Baseline!$P$24,GX382*Baseline!$P$25,GY382*Baseline!$P$26,GZ382*Baseline!$P$27,HA382*Baseline!$P$28,HB382*Baseline!$P$29,HC382*Baseline!$P$30,HD382*Baseline!$P$31,Baseline!$P$23)</f>
        <v>626.18362874044828</v>
      </c>
      <c r="HG382" s="455" t="e">
        <f t="shared" si="83"/>
        <v>#DIV/0!</v>
      </c>
      <c r="HH382" s="429" t="e">
        <f>IF(HG382&lt;=Baseline!$J$13,1,0)</f>
        <v>#DIV/0!</v>
      </c>
      <c r="HI382" s="429">
        <f t="shared" si="84"/>
        <v>392105.93690255558</v>
      </c>
      <c r="HJ382" s="429">
        <f t="shared" si="79"/>
        <v>48910903.069173105</v>
      </c>
      <c r="HK382" s="429">
        <f t="shared" si="80"/>
        <v>58061606.033611111</v>
      </c>
      <c r="HL382" s="429" t="str">
        <f>IF(HM382=Reference!$I$12,(HF382-GV382),"")</f>
        <v/>
      </c>
      <c r="HM382" s="429" t="str">
        <f>Reference!I382</f>
        <v/>
      </c>
      <c r="HN382" s="429" t="str">
        <f t="shared" si="85"/>
        <v/>
      </c>
    </row>
    <row r="383" spans="189:222" ht="17.25" customHeight="1" x14ac:dyDescent="0.35">
      <c r="GG383" s="432"/>
      <c r="GJ383" s="429" t="str">
        <f>IF(GK383=$GJ$15,$GJ$15,IF(GJ$24=HF$4,SUM(GK$25:GK383),SUM(GL$25:GL383)))</f>
        <v>N</v>
      </c>
      <c r="GK383" s="438" t="str">
        <f>IFERROR('!!'!G383-'!!'!D383,$GJ$15)</f>
        <v>N</v>
      </c>
      <c r="GL383" s="429" t="str">
        <f t="shared" si="81"/>
        <v>N</v>
      </c>
      <c r="GM383" s="438">
        <f>IFERROR(('!!'!$D383)*('!!'!W383/('!!'!$G383)),0)</f>
        <v>0</v>
      </c>
      <c r="GN383" s="438">
        <f>IFERROR(('!!'!$D383)*('!!'!X383/('!!'!$G383)),0)</f>
        <v>0</v>
      </c>
      <c r="GO383" s="438">
        <f>IFERROR(('!!'!$D383)*('!!'!Y383/('!!'!$G383)),0)</f>
        <v>0</v>
      </c>
      <c r="GP383" s="438">
        <f>IFERROR(('!!'!$D383)*('!!'!Z382/('!!'!$G383)),0)</f>
        <v>0</v>
      </c>
      <c r="GQ383" s="438">
        <f>IFERROR(('!!'!$D383)*('!!'!Q383/('!!'!$G383)),0)</f>
        <v>0</v>
      </c>
      <c r="GR383" s="429">
        <v>1</v>
      </c>
      <c r="GS383" s="429">
        <v>2</v>
      </c>
      <c r="GT383" s="432">
        <f>Monitoring!C383</f>
        <v>0</v>
      </c>
      <c r="GU383" s="432">
        <f>Reference!$C383</f>
        <v>0</v>
      </c>
      <c r="GV383" s="429">
        <f>Reference!$D383</f>
        <v>0</v>
      </c>
      <c r="GW383" s="440">
        <f t="shared" si="88"/>
        <v>0</v>
      </c>
      <c r="GX383" s="440">
        <f t="shared" si="88"/>
        <v>0</v>
      </c>
      <c r="GY383" s="440">
        <f t="shared" si="88"/>
        <v>0</v>
      </c>
      <c r="GZ383" s="440">
        <f t="shared" si="88"/>
        <v>0</v>
      </c>
      <c r="HA383" s="440"/>
      <c r="HB383" s="440"/>
      <c r="HC383" s="440"/>
      <c r="HD383" s="440"/>
      <c r="HE383" s="429">
        <f t="shared" si="82"/>
        <v>359</v>
      </c>
      <c r="HF383" s="429">
        <f>SUM(GW383*Baseline!$P$24,GX383*Baseline!$P$25,GY383*Baseline!$P$26,GZ383*Baseline!$P$27,HA383*Baseline!$P$28,HB383*Baseline!$P$29,HC383*Baseline!$P$30,HD383*Baseline!$P$31,Baseline!$P$23)</f>
        <v>626.18362874044828</v>
      </c>
      <c r="HG383" s="455" t="e">
        <f t="shared" si="83"/>
        <v>#DIV/0!</v>
      </c>
      <c r="HH383" s="429" t="e">
        <f>IF(HG383&lt;=Baseline!$J$13,1,0)</f>
        <v>#DIV/0!</v>
      </c>
      <c r="HI383" s="429">
        <f t="shared" si="84"/>
        <v>392105.93690255558</v>
      </c>
      <c r="HJ383" s="429">
        <f t="shared" si="79"/>
        <v>48910903.069173105</v>
      </c>
      <c r="HK383" s="429">
        <f t="shared" si="80"/>
        <v>58061606.033611111</v>
      </c>
      <c r="HL383" s="429" t="str">
        <f>IF(HM383=Reference!$I$12,(HF383-GV383),"")</f>
        <v/>
      </c>
      <c r="HM383" s="429" t="str">
        <f>Reference!I383</f>
        <v/>
      </c>
      <c r="HN383" s="429" t="str">
        <f t="shared" si="85"/>
        <v/>
      </c>
    </row>
    <row r="384" spans="189:222" ht="17.25" customHeight="1" x14ac:dyDescent="0.35">
      <c r="GG384" s="432"/>
      <c r="GJ384" s="429" t="str">
        <f>IF(GK384=$GJ$15,$GJ$15,IF(GJ$24=HF$4,SUM(GK$25:GK384),SUM(GL$25:GL384)))</f>
        <v>N</v>
      </c>
      <c r="GK384" s="438" t="str">
        <f>IFERROR('!!'!G384-'!!'!D384,$GJ$15)</f>
        <v>N</v>
      </c>
      <c r="GL384" s="429" t="str">
        <f t="shared" si="81"/>
        <v>N</v>
      </c>
      <c r="GM384" s="438">
        <f>IFERROR(('!!'!$D384)*('!!'!W384/('!!'!$G384)),0)</f>
        <v>0</v>
      </c>
      <c r="GN384" s="438">
        <f>IFERROR(('!!'!$D384)*('!!'!X384/('!!'!$G384)),0)</f>
        <v>0</v>
      </c>
      <c r="GO384" s="438">
        <f>IFERROR(('!!'!$D384)*('!!'!Y384/('!!'!$G384)),0)</f>
        <v>0</v>
      </c>
      <c r="GP384" s="438">
        <f>IFERROR(('!!'!$D384)*('!!'!Z383/('!!'!$G384)),0)</f>
        <v>0</v>
      </c>
      <c r="GQ384" s="438">
        <f>IFERROR(('!!'!$D384)*('!!'!Q384/('!!'!$G384)),0)</f>
        <v>0</v>
      </c>
      <c r="GR384" s="429">
        <v>1</v>
      </c>
      <c r="GS384" s="429">
        <v>2</v>
      </c>
      <c r="GT384" s="432">
        <f>Monitoring!C384</f>
        <v>0</v>
      </c>
      <c r="GU384" s="432">
        <f>Reference!$C384</f>
        <v>0</v>
      </c>
      <c r="GV384" s="429">
        <f>Reference!$D384</f>
        <v>0</v>
      </c>
      <c r="GW384" s="440">
        <f t="shared" si="88"/>
        <v>0</v>
      </c>
      <c r="GX384" s="440">
        <f t="shared" si="88"/>
        <v>0</v>
      </c>
      <c r="GY384" s="440">
        <f t="shared" si="88"/>
        <v>0</v>
      </c>
      <c r="GZ384" s="440">
        <f t="shared" si="88"/>
        <v>0</v>
      </c>
      <c r="HA384" s="440"/>
      <c r="HB384" s="440"/>
      <c r="HC384" s="440"/>
      <c r="HD384" s="440"/>
      <c r="HE384" s="429">
        <f t="shared" si="82"/>
        <v>360</v>
      </c>
      <c r="HF384" s="429">
        <f>SUM(GW384*Baseline!$P$24,GX384*Baseline!$P$25,GY384*Baseline!$P$26,GZ384*Baseline!$P$27,HA384*Baseline!$P$28,HB384*Baseline!$P$29,HC384*Baseline!$P$30,HD384*Baseline!$P$31,Baseline!$P$23)</f>
        <v>626.18362874044828</v>
      </c>
      <c r="HG384" s="455" t="e">
        <f t="shared" si="83"/>
        <v>#DIV/0!</v>
      </c>
      <c r="HH384" s="429" t="e">
        <f>IF(HG384&lt;=Baseline!$J$13,1,0)</f>
        <v>#DIV/0!</v>
      </c>
      <c r="HI384" s="429">
        <f t="shared" si="84"/>
        <v>392105.93690255558</v>
      </c>
      <c r="HJ384" s="429">
        <f t="shared" si="79"/>
        <v>48910903.069173105</v>
      </c>
      <c r="HK384" s="429">
        <f t="shared" si="80"/>
        <v>58061606.033611111</v>
      </c>
      <c r="HL384" s="429" t="str">
        <f>IF(HM384=Reference!$I$12,(HF384-GV384),"")</f>
        <v/>
      </c>
      <c r="HM384" s="429" t="str">
        <f>Reference!I384</f>
        <v/>
      </c>
      <c r="HN384" s="429" t="str">
        <f t="shared" si="85"/>
        <v/>
      </c>
    </row>
    <row r="385" spans="189:222" ht="17.25" customHeight="1" x14ac:dyDescent="0.35">
      <c r="GG385" s="432"/>
      <c r="GJ385" s="429" t="str">
        <f>IF(GK385=$GJ$15,$GJ$15,IF(GJ$24=HF$4,SUM(GK$25:GK385),SUM(GL$25:GL385)))</f>
        <v>N</v>
      </c>
      <c r="GK385" s="438" t="str">
        <f>IFERROR('!!'!G385-'!!'!D385,$GJ$15)</f>
        <v>N</v>
      </c>
      <c r="GL385" s="429" t="str">
        <f t="shared" si="81"/>
        <v>N</v>
      </c>
      <c r="GM385" s="438">
        <f>IFERROR(('!!'!$D385)*('!!'!W385/('!!'!$G385)),0)</f>
        <v>0</v>
      </c>
      <c r="GN385" s="438">
        <f>IFERROR(('!!'!$D385)*('!!'!X385/('!!'!$G385)),0)</f>
        <v>0</v>
      </c>
      <c r="GO385" s="438">
        <f>IFERROR(('!!'!$D385)*('!!'!Y385/('!!'!$G385)),0)</f>
        <v>0</v>
      </c>
      <c r="GP385" s="438">
        <f>IFERROR(('!!'!$D385)*('!!'!Z384/('!!'!$G385)),0)</f>
        <v>0</v>
      </c>
      <c r="GQ385" s="438">
        <f>IFERROR(('!!'!$D385)*('!!'!Q385/('!!'!$G385)),0)</f>
        <v>0</v>
      </c>
      <c r="GR385" s="429">
        <v>1</v>
      </c>
      <c r="GS385" s="429">
        <v>2</v>
      </c>
      <c r="GT385" s="432">
        <f>Monitoring!C385</f>
        <v>0</v>
      </c>
      <c r="GU385" s="432">
        <f>Reference!$C385</f>
        <v>0</v>
      </c>
      <c r="GV385" s="429">
        <f>Reference!$D385</f>
        <v>0</v>
      </c>
      <c r="GW385" s="440">
        <f t="shared" ref="GW385:GZ390" si="89">IFERROR(VLOOKUP($GU385,Daten.B,GW$22,FALSE)^GW$23,0)</f>
        <v>0</v>
      </c>
      <c r="GX385" s="440">
        <f t="shared" si="89"/>
        <v>0</v>
      </c>
      <c r="GY385" s="440">
        <f t="shared" si="89"/>
        <v>0</v>
      </c>
      <c r="GZ385" s="440">
        <f t="shared" si="89"/>
        <v>0</v>
      </c>
      <c r="HA385" s="440"/>
      <c r="HB385" s="440"/>
      <c r="HC385" s="440"/>
      <c r="HD385" s="440"/>
      <c r="HE385" s="429">
        <f t="shared" si="82"/>
        <v>361</v>
      </c>
      <c r="HF385" s="429">
        <f>SUM(GW385*Baseline!$P$24,GX385*Baseline!$P$25,GY385*Baseline!$P$26,GZ385*Baseline!$P$27,HA385*Baseline!$P$28,HB385*Baseline!$P$29,HC385*Baseline!$P$30,HD385*Baseline!$P$31,Baseline!$P$23)</f>
        <v>626.18362874044828</v>
      </c>
      <c r="HG385" s="455" t="e">
        <f t="shared" si="83"/>
        <v>#DIV/0!</v>
      </c>
      <c r="HH385" s="429" t="e">
        <f>IF(HG385&lt;=Baseline!$J$13,1,0)</f>
        <v>#DIV/0!</v>
      </c>
      <c r="HI385" s="429">
        <f t="shared" si="84"/>
        <v>392105.93690255558</v>
      </c>
      <c r="HJ385" s="429">
        <f t="shared" si="79"/>
        <v>48910903.069173105</v>
      </c>
      <c r="HK385" s="429">
        <f t="shared" si="80"/>
        <v>58061606.033611111</v>
      </c>
      <c r="HL385" s="429" t="str">
        <f>IF(HM385=Reference!$I$12,(HF385-GV385),"")</f>
        <v/>
      </c>
      <c r="HM385" s="429" t="str">
        <f>Reference!I385</f>
        <v/>
      </c>
      <c r="HN385" s="429" t="str">
        <f t="shared" si="85"/>
        <v/>
      </c>
    </row>
    <row r="386" spans="189:222" ht="17.25" customHeight="1" x14ac:dyDescent="0.35">
      <c r="GG386" s="432"/>
      <c r="GJ386" s="429" t="str">
        <f>IF(GK386=$GJ$15,$GJ$15,IF(GJ$24=HF$4,SUM(GK$25:GK386),SUM(GL$25:GL386)))</f>
        <v>N</v>
      </c>
      <c r="GK386" s="438" t="str">
        <f>IFERROR('!!'!G386-'!!'!D386,$GJ$15)</f>
        <v>N</v>
      </c>
      <c r="GL386" s="429" t="str">
        <f t="shared" si="81"/>
        <v>N</v>
      </c>
      <c r="GM386" s="438">
        <f>IFERROR(('!!'!$D386)*('!!'!W386/('!!'!$G386)),0)</f>
        <v>0</v>
      </c>
      <c r="GN386" s="438">
        <f>IFERROR(('!!'!$D386)*('!!'!X386/('!!'!$G386)),0)</f>
        <v>0</v>
      </c>
      <c r="GO386" s="438">
        <f>IFERROR(('!!'!$D386)*('!!'!Y386/('!!'!$G386)),0)</f>
        <v>0</v>
      </c>
      <c r="GP386" s="438">
        <f>IFERROR(('!!'!$D386)*('!!'!Z385/('!!'!$G386)),0)</f>
        <v>0</v>
      </c>
      <c r="GQ386" s="438">
        <f>IFERROR(('!!'!$D386)*('!!'!Q386/('!!'!$G386)),0)</f>
        <v>0</v>
      </c>
      <c r="GR386" s="429">
        <v>1</v>
      </c>
      <c r="GS386" s="429">
        <v>2</v>
      </c>
      <c r="GT386" s="432">
        <f>Monitoring!C386</f>
        <v>0</v>
      </c>
      <c r="GU386" s="432">
        <f>Reference!$C386</f>
        <v>0</v>
      </c>
      <c r="GV386" s="429">
        <f>Reference!$D386</f>
        <v>0</v>
      </c>
      <c r="GW386" s="440">
        <f t="shared" si="89"/>
        <v>0</v>
      </c>
      <c r="GX386" s="440">
        <f t="shared" si="89"/>
        <v>0</v>
      </c>
      <c r="GY386" s="440">
        <f t="shared" si="89"/>
        <v>0</v>
      </c>
      <c r="GZ386" s="440">
        <f t="shared" si="89"/>
        <v>0</v>
      </c>
      <c r="HA386" s="440"/>
      <c r="HB386" s="440"/>
      <c r="HC386" s="440"/>
      <c r="HD386" s="440"/>
      <c r="HE386" s="429">
        <f t="shared" si="82"/>
        <v>362</v>
      </c>
      <c r="HF386" s="429">
        <f>SUM(GW386*Baseline!$P$24,GX386*Baseline!$P$25,GY386*Baseline!$P$26,GZ386*Baseline!$P$27,HA386*Baseline!$P$28,HB386*Baseline!$P$29,HC386*Baseline!$P$30,HD386*Baseline!$P$31,Baseline!$P$23)</f>
        <v>626.18362874044828</v>
      </c>
      <c r="HG386" s="455" t="e">
        <f t="shared" si="83"/>
        <v>#DIV/0!</v>
      </c>
      <c r="HH386" s="429" t="e">
        <f>IF(HG386&lt;=Baseline!$J$13,1,0)</f>
        <v>#DIV/0!</v>
      </c>
      <c r="HI386" s="429">
        <f t="shared" si="84"/>
        <v>392105.93690255558</v>
      </c>
      <c r="HJ386" s="429">
        <f t="shared" si="79"/>
        <v>48910903.069173105</v>
      </c>
      <c r="HK386" s="429">
        <f t="shared" si="80"/>
        <v>58061606.033611111</v>
      </c>
      <c r="HL386" s="429" t="str">
        <f>IF(HM386=Reference!$I$12,(HF386-GV386),"")</f>
        <v/>
      </c>
      <c r="HM386" s="429" t="str">
        <f>Reference!I386</f>
        <v/>
      </c>
      <c r="HN386" s="429" t="str">
        <f t="shared" si="85"/>
        <v/>
      </c>
    </row>
    <row r="387" spans="189:222" ht="17.25" customHeight="1" x14ac:dyDescent="0.35">
      <c r="GG387" s="432"/>
      <c r="GJ387" s="429" t="str">
        <f>IF(GK387=$GJ$15,$GJ$15,IF(GJ$24=HF$4,SUM(GK$25:GK387),SUM(GL$25:GL387)))</f>
        <v>N</v>
      </c>
      <c r="GK387" s="438" t="str">
        <f>IFERROR('!!'!G387-'!!'!D387,$GJ$15)</f>
        <v>N</v>
      </c>
      <c r="GL387" s="429" t="str">
        <f t="shared" si="81"/>
        <v>N</v>
      </c>
      <c r="GM387" s="438">
        <f>IFERROR(('!!'!$D387)*('!!'!W387/('!!'!$G387)),0)</f>
        <v>0</v>
      </c>
      <c r="GN387" s="438">
        <f>IFERROR(('!!'!$D387)*('!!'!X387/('!!'!$G387)),0)</f>
        <v>0</v>
      </c>
      <c r="GO387" s="438">
        <f>IFERROR(('!!'!$D387)*('!!'!Y387/('!!'!$G387)),0)</f>
        <v>0</v>
      </c>
      <c r="GP387" s="438">
        <f>IFERROR(('!!'!$D387)*('!!'!Z386/('!!'!$G387)),0)</f>
        <v>0</v>
      </c>
      <c r="GQ387" s="438">
        <f>IFERROR(('!!'!$D387)*('!!'!Q387/('!!'!$G387)),0)</f>
        <v>0</v>
      </c>
      <c r="GR387" s="429">
        <v>1</v>
      </c>
      <c r="GS387" s="429">
        <v>2</v>
      </c>
      <c r="GT387" s="432">
        <f>Monitoring!C387</f>
        <v>0</v>
      </c>
      <c r="GU387" s="432">
        <f>Reference!$C387</f>
        <v>0</v>
      </c>
      <c r="GV387" s="429">
        <f>Reference!$D387</f>
        <v>0</v>
      </c>
      <c r="GW387" s="440">
        <f t="shared" si="89"/>
        <v>0</v>
      </c>
      <c r="GX387" s="440">
        <f t="shared" si="89"/>
        <v>0</v>
      </c>
      <c r="GY387" s="440">
        <f t="shared" si="89"/>
        <v>0</v>
      </c>
      <c r="GZ387" s="440">
        <f t="shared" si="89"/>
        <v>0</v>
      </c>
      <c r="HA387" s="440"/>
      <c r="HB387" s="440"/>
      <c r="HC387" s="440"/>
      <c r="HD387" s="440"/>
      <c r="HE387" s="429">
        <f t="shared" si="82"/>
        <v>363</v>
      </c>
      <c r="HF387" s="429">
        <f>SUM(GW387*Baseline!$P$24,GX387*Baseline!$P$25,GY387*Baseline!$P$26,GZ387*Baseline!$P$27,HA387*Baseline!$P$28,HB387*Baseline!$P$29,HC387*Baseline!$P$30,HD387*Baseline!$P$31,Baseline!$P$23)</f>
        <v>626.18362874044828</v>
      </c>
      <c r="HG387" s="455" t="e">
        <f t="shared" si="83"/>
        <v>#DIV/0!</v>
      </c>
      <c r="HH387" s="429" t="e">
        <f>IF(HG387&lt;=Baseline!$J$13,1,0)</f>
        <v>#DIV/0!</v>
      </c>
      <c r="HI387" s="429">
        <f t="shared" si="84"/>
        <v>392105.93690255558</v>
      </c>
      <c r="HJ387" s="429">
        <f t="shared" si="79"/>
        <v>48910903.069173105</v>
      </c>
      <c r="HK387" s="429">
        <f t="shared" si="80"/>
        <v>58061606.033611111</v>
      </c>
      <c r="HL387" s="429" t="str">
        <f>IF(HM387=Reference!$I$12,(HF387-GV387),"")</f>
        <v/>
      </c>
      <c r="HM387" s="429" t="str">
        <f>Reference!I387</f>
        <v/>
      </c>
      <c r="HN387" s="429" t="str">
        <f t="shared" si="85"/>
        <v/>
      </c>
    </row>
    <row r="388" spans="189:222" ht="17.25" customHeight="1" x14ac:dyDescent="0.35">
      <c r="GG388" s="432"/>
      <c r="GJ388" s="429" t="str">
        <f>IF(GK388=$GJ$15,$GJ$15,IF(GJ$24=HF$4,SUM(GK$25:GK388),SUM(GL$25:GL388)))</f>
        <v>N</v>
      </c>
      <c r="GK388" s="438" t="str">
        <f>IFERROR('!!'!G388-'!!'!D388,$GJ$15)</f>
        <v>N</v>
      </c>
      <c r="GL388" s="429" t="str">
        <f t="shared" si="81"/>
        <v>N</v>
      </c>
      <c r="GM388" s="438">
        <f>IFERROR(('!!'!$D388)*('!!'!W388/('!!'!$G388)),0)</f>
        <v>0</v>
      </c>
      <c r="GN388" s="438">
        <f>IFERROR(('!!'!$D388)*('!!'!X388/('!!'!$G388)),0)</f>
        <v>0</v>
      </c>
      <c r="GO388" s="438">
        <f>IFERROR(('!!'!$D388)*('!!'!Y388/('!!'!$G388)),0)</f>
        <v>0</v>
      </c>
      <c r="GP388" s="438">
        <f>IFERROR(('!!'!$D388)*('!!'!Z387/('!!'!$G388)),0)</f>
        <v>0</v>
      </c>
      <c r="GQ388" s="438">
        <f>IFERROR(('!!'!$D388)*('!!'!Q388/('!!'!$G388)),0)</f>
        <v>0</v>
      </c>
      <c r="GR388" s="429">
        <v>1</v>
      </c>
      <c r="GS388" s="429">
        <v>2</v>
      </c>
      <c r="GT388" s="432">
        <f>Monitoring!C388</f>
        <v>0</v>
      </c>
      <c r="GU388" s="432">
        <f>Reference!$C388</f>
        <v>0</v>
      </c>
      <c r="GV388" s="429">
        <f>Reference!$D388</f>
        <v>0</v>
      </c>
      <c r="GW388" s="440">
        <f t="shared" si="89"/>
        <v>0</v>
      </c>
      <c r="GX388" s="440">
        <f t="shared" si="89"/>
        <v>0</v>
      </c>
      <c r="GY388" s="440">
        <f t="shared" si="89"/>
        <v>0</v>
      </c>
      <c r="GZ388" s="440">
        <f t="shared" si="89"/>
        <v>0</v>
      </c>
      <c r="HA388" s="440"/>
      <c r="HB388" s="440"/>
      <c r="HC388" s="440"/>
      <c r="HD388" s="440"/>
      <c r="HE388" s="429">
        <f t="shared" si="82"/>
        <v>364</v>
      </c>
      <c r="HF388" s="429">
        <f>SUM(GW388*Baseline!$P$24,GX388*Baseline!$P$25,GY388*Baseline!$P$26,GZ388*Baseline!$P$27,HA388*Baseline!$P$28,HB388*Baseline!$P$29,HC388*Baseline!$P$30,HD388*Baseline!$P$31,Baseline!$P$23)</f>
        <v>626.18362874044828</v>
      </c>
      <c r="HG388" s="455" t="e">
        <f t="shared" si="83"/>
        <v>#DIV/0!</v>
      </c>
      <c r="HH388" s="429" t="e">
        <f>IF(HG388&lt;=Baseline!$J$13,1,0)</f>
        <v>#DIV/0!</v>
      </c>
      <c r="HI388" s="429">
        <f t="shared" si="84"/>
        <v>392105.93690255558</v>
      </c>
      <c r="HJ388" s="429">
        <f t="shared" si="79"/>
        <v>48910903.069173105</v>
      </c>
      <c r="HK388" s="429">
        <f t="shared" si="80"/>
        <v>58061606.033611111</v>
      </c>
      <c r="HL388" s="429" t="str">
        <f>IF(HM388=Reference!$I$12,(HF388-GV388),"")</f>
        <v/>
      </c>
      <c r="HM388" s="429" t="str">
        <f>Reference!I388</f>
        <v/>
      </c>
      <c r="HN388" s="429" t="str">
        <f t="shared" si="85"/>
        <v/>
      </c>
    </row>
    <row r="389" spans="189:222" ht="17.25" customHeight="1" x14ac:dyDescent="0.35">
      <c r="GG389" s="432"/>
      <c r="GJ389" s="429" t="str">
        <f>IF(GK389=$GJ$15,$GJ$15,IF(GJ$24=HF$4,SUM(GK$25:GK389),SUM(GL$25:GL389)))</f>
        <v>N</v>
      </c>
      <c r="GK389" s="438" t="str">
        <f>IFERROR('!!'!G389-'!!'!D389,$GJ$15)</f>
        <v>N</v>
      </c>
      <c r="GL389" s="429" t="str">
        <f t="shared" si="81"/>
        <v>N</v>
      </c>
      <c r="GM389" s="438">
        <f>IFERROR(('!!'!$D389)*('!!'!W389/('!!'!$G389)),0)</f>
        <v>0</v>
      </c>
      <c r="GN389" s="438">
        <f>IFERROR(('!!'!$D389)*('!!'!X389/('!!'!$G389)),0)</f>
        <v>0</v>
      </c>
      <c r="GO389" s="438">
        <f>IFERROR(('!!'!$D389)*('!!'!Y389/('!!'!$G389)),0)</f>
        <v>0</v>
      </c>
      <c r="GP389" s="438">
        <f>IFERROR(('!!'!$D389)*('!!'!Z388/('!!'!$G389)),0)</f>
        <v>0</v>
      </c>
      <c r="GQ389" s="438">
        <f>IFERROR(('!!'!$D389)*('!!'!Q389/('!!'!$G389)),0)</f>
        <v>0</v>
      </c>
      <c r="GR389" s="429">
        <v>1</v>
      </c>
      <c r="GS389" s="429">
        <v>2</v>
      </c>
      <c r="GT389" s="432">
        <f>Monitoring!C389</f>
        <v>0</v>
      </c>
      <c r="GU389" s="432">
        <f>Reference!$C389</f>
        <v>0</v>
      </c>
      <c r="GV389" s="429">
        <f>Reference!$D389</f>
        <v>0</v>
      </c>
      <c r="GW389" s="440">
        <f t="shared" si="89"/>
        <v>0</v>
      </c>
      <c r="GX389" s="440">
        <f t="shared" si="89"/>
        <v>0</v>
      </c>
      <c r="GY389" s="440">
        <f t="shared" si="89"/>
        <v>0</v>
      </c>
      <c r="GZ389" s="440">
        <f t="shared" si="89"/>
        <v>0</v>
      </c>
      <c r="HA389" s="440"/>
      <c r="HB389" s="440"/>
      <c r="HC389" s="440"/>
      <c r="HD389" s="440"/>
      <c r="HE389" s="429">
        <f t="shared" si="82"/>
        <v>365</v>
      </c>
      <c r="HF389" s="429">
        <f>SUM(GW389*Baseline!$P$24,GX389*Baseline!$P$25,GY389*Baseline!$P$26,GZ389*Baseline!$P$27,HA389*Baseline!$P$28,HB389*Baseline!$P$29,HC389*Baseline!$P$30,HD389*Baseline!$P$31,Baseline!$P$23)</f>
        <v>626.18362874044828</v>
      </c>
      <c r="HG389" s="455" t="e">
        <f t="shared" si="83"/>
        <v>#DIV/0!</v>
      </c>
      <c r="HH389" s="429" t="e">
        <f>IF(HG389&lt;=Baseline!$J$13,1,0)</f>
        <v>#DIV/0!</v>
      </c>
      <c r="HI389" s="429">
        <f t="shared" si="84"/>
        <v>392105.93690255558</v>
      </c>
      <c r="HJ389" s="429">
        <f t="shared" si="79"/>
        <v>48910903.069173105</v>
      </c>
      <c r="HK389" s="429">
        <f t="shared" si="80"/>
        <v>58061606.033611111</v>
      </c>
      <c r="HL389" s="429" t="str">
        <f>IF(HM389=Reference!$I$12,(HF389-GV389),"")</f>
        <v/>
      </c>
      <c r="HM389" s="429" t="str">
        <f>Reference!I389</f>
        <v/>
      </c>
      <c r="HN389" s="429" t="str">
        <f t="shared" si="85"/>
        <v/>
      </c>
    </row>
    <row r="390" spans="189:222" ht="17.25" customHeight="1" x14ac:dyDescent="0.35">
      <c r="GG390" s="432"/>
      <c r="GJ390" s="429" t="str">
        <f>IF(GK390=$GJ$15,$GJ$15,IF(GJ$24=HF$4,SUM(GK$25:GK390),SUM(GL$25:GL390)))</f>
        <v>N</v>
      </c>
      <c r="GK390" s="438" t="str">
        <f>IFERROR('!!'!G390-'!!'!D390,$GJ$15)</f>
        <v>N</v>
      </c>
      <c r="GL390" s="429" t="str">
        <f t="shared" si="81"/>
        <v>N</v>
      </c>
      <c r="GM390" s="438">
        <f>IFERROR(('!!'!$D390)*('!!'!W390/('!!'!$G390)),0)</f>
        <v>0</v>
      </c>
      <c r="GN390" s="438">
        <f>IFERROR(('!!'!$D390)*('!!'!X390/('!!'!$G390)),0)</f>
        <v>0</v>
      </c>
      <c r="GO390" s="438">
        <f>IFERROR(('!!'!$D390)*('!!'!Y390/('!!'!$G390)),0)</f>
        <v>0</v>
      </c>
      <c r="GP390" s="438">
        <f>IFERROR(('!!'!$D390)*('!!'!Z389/('!!'!$G390)),0)</f>
        <v>0</v>
      </c>
      <c r="GQ390" s="438">
        <f>IFERROR(('!!'!$D390)*('!!'!Q390/('!!'!$G390)),0)</f>
        <v>0</v>
      </c>
      <c r="GR390" s="429">
        <v>1</v>
      </c>
      <c r="GS390" s="429">
        <v>2</v>
      </c>
      <c r="GT390" s="432">
        <f>Monitoring!C390</f>
        <v>0</v>
      </c>
      <c r="GU390" s="432">
        <f>Reference!$C390</f>
        <v>0</v>
      </c>
      <c r="GV390" s="429">
        <f>Reference!$D390</f>
        <v>0</v>
      </c>
      <c r="GW390" s="440">
        <f t="shared" si="89"/>
        <v>0</v>
      </c>
      <c r="GX390" s="440">
        <f t="shared" si="89"/>
        <v>0</v>
      </c>
      <c r="GY390" s="440">
        <f t="shared" si="89"/>
        <v>0</v>
      </c>
      <c r="GZ390" s="440">
        <f t="shared" si="89"/>
        <v>0</v>
      </c>
      <c r="HA390" s="440"/>
      <c r="HB390" s="440"/>
      <c r="HC390" s="440"/>
      <c r="HD390" s="440"/>
      <c r="HE390" s="429">
        <f t="shared" si="82"/>
        <v>366</v>
      </c>
      <c r="HF390" s="429">
        <f>SUM(GW390*Baseline!$P$24,GX390*Baseline!$P$25,GY390*Baseline!$P$26,GZ390*Baseline!$P$27,HA390*Baseline!$P$28,HB390*Baseline!$P$29,HC390*Baseline!$P$30,HD390*Baseline!$P$31,Baseline!$P$23)</f>
        <v>626.18362874044828</v>
      </c>
      <c r="HG390" s="455" t="e">
        <f t="shared" si="83"/>
        <v>#DIV/0!</v>
      </c>
      <c r="HH390" s="429" t="e">
        <f>IF(HG390&lt;=Baseline!$J$13,1,0)</f>
        <v>#DIV/0!</v>
      </c>
      <c r="HI390" s="429">
        <f t="shared" si="84"/>
        <v>392105.93690255558</v>
      </c>
      <c r="HJ390" s="429">
        <f t="shared" si="79"/>
        <v>48910903.069173105</v>
      </c>
      <c r="HK390" s="429">
        <f t="shared" si="80"/>
        <v>58061606.033611111</v>
      </c>
      <c r="HL390" s="429" t="str">
        <f>IF(HM390=Reference!$I$12,(HF390-GV390),"")</f>
        <v/>
      </c>
      <c r="HM390" s="429" t="str">
        <f>Reference!I390</f>
        <v/>
      </c>
      <c r="HN390" s="429" t="str">
        <f t="shared" si="85"/>
        <v/>
      </c>
    </row>
  </sheetData>
  <sheetProtection algorithmName="SHA-512" hashValue="6tY+y2pvCWGUJ6YIzMjfm/zDRILDt/cgOiRJrbPxvksHLD8jB5Jub3M6S/uuk7jwBBKmbvTOkW8HzIZXm8fvtw==" saltValue="DvzHv83vyPM+Um8dyLrqxA==" spinCount="100000" sheet="1" objects="1" scenarios="1" selectLockedCells="1" selectUnlockedCells="1"/>
  <conditionalFormatting sqref="HS2">
    <cfRule type="expression" dxfId="9" priority="5">
      <formula>HS2="AN"</formula>
    </cfRule>
  </conditionalFormatting>
  <conditionalFormatting sqref="HT2">
    <cfRule type="expression" dxfId="8" priority="3">
      <formula>HT2="AN"</formula>
    </cfRule>
  </conditionalFormatting>
  <conditionalFormatting sqref="HU2">
    <cfRule type="expression" dxfId="7" priority="2">
      <formula>HU2="AN"</formula>
    </cfRule>
  </conditionalFormatting>
  <conditionalFormatting sqref="HV2">
    <cfRule type="expression" dxfId="6" priority="1">
      <formula>HV2="AN"</formula>
    </cfRule>
  </conditionalFormatting>
  <dataValidations count="1">
    <dataValidation type="list" allowBlank="1" showInputMessage="1" showErrorMessage="1" sqref="HS2:HV2" xr:uid="{00000000-0002-0000-0000-000000000000}">
      <formula1>An_Aus</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1"/>
  <dimension ref="A1:K19"/>
  <sheetViews>
    <sheetView showGridLines="0" topLeftCell="D1" workbookViewId="0">
      <selection activeCell="G5" sqref="G5:G16"/>
    </sheetView>
  </sheetViews>
  <sheetFormatPr baseColWidth="10" defaultColWidth="11.453125" defaultRowHeight="12.5" x14ac:dyDescent="0.25"/>
  <cols>
    <col min="1" max="2" width="11.453125" style="406"/>
    <col min="3" max="3" width="11.81640625" style="406" customWidth="1"/>
    <col min="4" max="6" width="11.453125" style="406"/>
    <col min="7" max="7" width="9.453125" style="406" customWidth="1"/>
    <col min="8" max="8" width="11.453125" style="406"/>
    <col min="9" max="9" width="0" style="406" hidden="1" customWidth="1"/>
    <col min="10" max="10" width="11.453125" style="406"/>
    <col min="11" max="11" width="0" style="406" hidden="1" customWidth="1"/>
    <col min="12" max="12" width="9.453125" style="406" customWidth="1"/>
    <col min="13" max="16384" width="11.453125" style="406"/>
  </cols>
  <sheetData>
    <row r="1" spans="1:11" ht="14.5" x14ac:dyDescent="0.35">
      <c r="D1" s="415" t="s">
        <v>524</v>
      </c>
    </row>
    <row r="3" spans="1:11" ht="12.75" customHeight="1" x14ac:dyDescent="0.25">
      <c r="A3" s="408"/>
      <c r="B3" s="409"/>
      <c r="C3" s="410"/>
      <c r="D3" s="407">
        <v>2017</v>
      </c>
      <c r="E3" s="588" t="s">
        <v>338</v>
      </c>
      <c r="F3" s="588" t="s">
        <v>335</v>
      </c>
      <c r="G3" s="588" t="s">
        <v>336</v>
      </c>
      <c r="H3" s="588" t="s">
        <v>337</v>
      </c>
      <c r="I3" s="588" t="s">
        <v>336</v>
      </c>
      <c r="K3" s="588" t="s">
        <v>337</v>
      </c>
    </row>
    <row r="4" spans="1:11" ht="28.5" customHeight="1" x14ac:dyDescent="0.25">
      <c r="A4" s="408"/>
      <c r="B4" s="409"/>
      <c r="C4" s="410"/>
      <c r="D4" s="407" t="s">
        <v>104</v>
      </c>
      <c r="E4" s="589"/>
      <c r="F4" s="589"/>
      <c r="G4" s="589"/>
      <c r="H4" s="591"/>
      <c r="I4" s="589"/>
      <c r="K4" s="589"/>
    </row>
    <row r="5" spans="1:11" ht="13" x14ac:dyDescent="0.25">
      <c r="A5" s="408"/>
      <c r="B5" s="411"/>
      <c r="C5" s="411"/>
      <c r="D5" s="423">
        <v>42736</v>
      </c>
      <c r="E5" s="405">
        <v>7484.3</v>
      </c>
      <c r="F5" s="405">
        <v>94</v>
      </c>
      <c r="G5" s="405">
        <v>550</v>
      </c>
      <c r="H5" s="405">
        <v>15</v>
      </c>
      <c r="I5" s="405">
        <v>550</v>
      </c>
      <c r="K5" s="405">
        <v>15</v>
      </c>
    </row>
    <row r="6" spans="1:11" ht="13" x14ac:dyDescent="0.25">
      <c r="A6" s="408"/>
      <c r="B6" s="411"/>
      <c r="C6" s="411"/>
      <c r="D6" s="423">
        <v>42767</v>
      </c>
      <c r="E6" s="405">
        <v>7249.3</v>
      </c>
      <c r="F6" s="405">
        <v>99</v>
      </c>
      <c r="G6" s="405">
        <v>450</v>
      </c>
      <c r="H6" s="405">
        <v>45</v>
      </c>
      <c r="I6" s="405">
        <v>450</v>
      </c>
      <c r="K6" s="405">
        <v>45</v>
      </c>
    </row>
    <row r="7" spans="1:11" ht="13" x14ac:dyDescent="0.25">
      <c r="A7" s="408"/>
      <c r="B7" s="411"/>
      <c r="C7" s="411"/>
      <c r="D7" s="423">
        <v>42795</v>
      </c>
      <c r="E7" s="405">
        <v>7163.5</v>
      </c>
      <c r="F7" s="405">
        <v>73</v>
      </c>
      <c r="G7" s="405">
        <v>440</v>
      </c>
      <c r="H7" s="405">
        <v>75</v>
      </c>
      <c r="I7" s="405">
        <v>440</v>
      </c>
      <c r="K7" s="405">
        <v>75</v>
      </c>
    </row>
    <row r="8" spans="1:11" ht="13" x14ac:dyDescent="0.25">
      <c r="A8" s="408"/>
      <c r="B8" s="411"/>
      <c r="C8" s="411"/>
      <c r="D8" s="423">
        <v>42826</v>
      </c>
      <c r="E8" s="405">
        <v>5794.5</v>
      </c>
      <c r="F8" s="405">
        <v>93</v>
      </c>
      <c r="G8" s="405">
        <v>210</v>
      </c>
      <c r="H8" s="405">
        <v>15</v>
      </c>
      <c r="I8" s="405">
        <v>210</v>
      </c>
      <c r="K8" s="405">
        <v>15</v>
      </c>
    </row>
    <row r="9" spans="1:11" ht="13" x14ac:dyDescent="0.25">
      <c r="A9" s="408"/>
      <c r="B9" s="411"/>
      <c r="C9" s="411"/>
      <c r="D9" s="423">
        <v>42856</v>
      </c>
      <c r="E9" s="405">
        <v>6373.4</v>
      </c>
      <c r="F9" s="405">
        <v>108</v>
      </c>
      <c r="G9" s="405">
        <v>205.32173913043476</v>
      </c>
      <c r="H9" s="405">
        <v>45</v>
      </c>
      <c r="I9" s="405">
        <v>205.32173913043476</v>
      </c>
      <c r="K9" s="405">
        <v>45</v>
      </c>
    </row>
    <row r="10" spans="1:11" ht="13" x14ac:dyDescent="0.25">
      <c r="A10" s="408"/>
      <c r="B10" s="411"/>
      <c r="C10" s="411"/>
      <c r="D10" s="423">
        <v>42887</v>
      </c>
      <c r="E10" s="405">
        <v>7445.2</v>
      </c>
      <c r="F10" s="405">
        <v>132</v>
      </c>
      <c r="G10" s="405">
        <v>103.46956521739131</v>
      </c>
      <c r="H10" s="405">
        <v>75</v>
      </c>
      <c r="I10" s="405">
        <v>103.46956521739131</v>
      </c>
      <c r="K10" s="405">
        <v>75</v>
      </c>
    </row>
    <row r="11" spans="1:11" ht="13" x14ac:dyDescent="0.25">
      <c r="A11" s="408"/>
      <c r="B11" s="411"/>
      <c r="C11" s="411"/>
      <c r="D11" s="423">
        <v>42917</v>
      </c>
      <c r="E11" s="405">
        <v>7123.3</v>
      </c>
      <c r="F11" s="405">
        <v>165</v>
      </c>
      <c r="G11" s="405">
        <v>43.080434782608691</v>
      </c>
      <c r="H11" s="405">
        <v>15</v>
      </c>
      <c r="I11" s="405">
        <v>43.080434782608691</v>
      </c>
      <c r="K11" s="405">
        <v>15</v>
      </c>
    </row>
    <row r="12" spans="1:11" ht="13" x14ac:dyDescent="0.25">
      <c r="A12" s="408"/>
      <c r="B12" s="411"/>
      <c r="C12" s="411"/>
      <c r="D12" s="423">
        <v>42948</v>
      </c>
      <c r="E12" s="405">
        <v>8465</v>
      </c>
      <c r="F12" s="405">
        <v>188</v>
      </c>
      <c r="G12" s="405">
        <v>42.978260869565219</v>
      </c>
      <c r="H12" s="405">
        <v>45</v>
      </c>
      <c r="I12" s="405">
        <v>42.978260869565219</v>
      </c>
      <c r="K12" s="405">
        <v>45</v>
      </c>
    </row>
    <row r="13" spans="1:11" ht="13" x14ac:dyDescent="0.25">
      <c r="A13" s="408"/>
      <c r="B13" s="411"/>
      <c r="C13" s="411"/>
      <c r="D13" s="423">
        <v>42979</v>
      </c>
      <c r="E13" s="405">
        <v>7176.6</v>
      </c>
      <c r="F13" s="405">
        <v>113</v>
      </c>
      <c r="G13" s="405">
        <v>155.98478260869564</v>
      </c>
      <c r="H13" s="405">
        <v>75</v>
      </c>
      <c r="I13" s="405">
        <v>155.98478260869564</v>
      </c>
      <c r="K13" s="405">
        <v>75</v>
      </c>
    </row>
    <row r="14" spans="1:11" ht="13" x14ac:dyDescent="0.25">
      <c r="A14" s="408"/>
      <c r="B14" s="411"/>
      <c r="C14" s="411"/>
      <c r="D14" s="423">
        <v>43009</v>
      </c>
      <c r="E14" s="405">
        <v>7174.9</v>
      </c>
      <c r="F14" s="405">
        <v>87</v>
      </c>
      <c r="G14" s="405">
        <v>313.0152173913043</v>
      </c>
      <c r="H14" s="405">
        <v>105</v>
      </c>
      <c r="I14" s="405">
        <v>313.0152173913043</v>
      </c>
      <c r="K14" s="405">
        <v>105</v>
      </c>
    </row>
    <row r="15" spans="1:11" ht="13" x14ac:dyDescent="0.25">
      <c r="A15" s="408"/>
      <c r="B15" s="411"/>
      <c r="C15" s="411"/>
      <c r="D15" s="423">
        <v>43040</v>
      </c>
      <c r="E15" s="405">
        <v>9031.7999999999993</v>
      </c>
      <c r="F15" s="405">
        <v>71</v>
      </c>
      <c r="G15" s="405">
        <v>500</v>
      </c>
      <c r="H15" s="405">
        <v>135</v>
      </c>
      <c r="I15" s="405">
        <v>500</v>
      </c>
      <c r="K15" s="405">
        <v>135</v>
      </c>
    </row>
    <row r="16" spans="1:11" ht="13" x14ac:dyDescent="0.25">
      <c r="A16" s="408"/>
      <c r="B16" s="411"/>
      <c r="C16" s="411"/>
      <c r="D16" s="423">
        <v>43070</v>
      </c>
      <c r="E16" s="405">
        <v>10956</v>
      </c>
      <c r="F16" s="405">
        <v>146</v>
      </c>
      <c r="G16" s="405">
        <v>820</v>
      </c>
      <c r="H16" s="405">
        <v>15</v>
      </c>
      <c r="I16" s="405">
        <v>820</v>
      </c>
      <c r="K16" s="405">
        <v>15</v>
      </c>
    </row>
    <row r="17" spans="1:3" x14ac:dyDescent="0.25">
      <c r="A17" s="408"/>
      <c r="B17" s="408"/>
      <c r="C17" s="408"/>
    </row>
    <row r="18" spans="1:3" ht="82.5" customHeight="1" x14ac:dyDescent="0.25">
      <c r="A18" s="590"/>
      <c r="B18" s="590"/>
      <c r="C18" s="590"/>
    </row>
    <row r="19" spans="1:3" x14ac:dyDescent="0.25">
      <c r="A19" s="412"/>
      <c r="B19" s="413"/>
      <c r="C19" s="413"/>
    </row>
  </sheetData>
  <mergeCells count="7">
    <mergeCell ref="K3:K4"/>
    <mergeCell ref="A18:C18"/>
    <mergeCell ref="E3:E4"/>
    <mergeCell ref="F3:F4"/>
    <mergeCell ref="G3:G4"/>
    <mergeCell ref="H3:H4"/>
    <mergeCell ref="I3:I4"/>
  </mergeCells>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dimension ref="A1:E18"/>
  <sheetViews>
    <sheetView showGridLines="0" workbookViewId="0">
      <selection activeCell="M18" sqref="M18"/>
    </sheetView>
  </sheetViews>
  <sheetFormatPr baseColWidth="10" defaultColWidth="11.453125" defaultRowHeight="12.5" x14ac:dyDescent="0.25"/>
  <cols>
    <col min="1" max="3" width="11.453125" style="406"/>
    <col min="4" max="4" width="9.453125" style="406" customWidth="1"/>
    <col min="5" max="9" width="11.453125" style="406"/>
    <col min="10" max="10" width="9.453125" style="406" customWidth="1"/>
    <col min="11" max="16384" width="11.453125" style="406"/>
  </cols>
  <sheetData>
    <row r="1" spans="1:5" ht="14.5" x14ac:dyDescent="0.35">
      <c r="A1" s="415" t="s">
        <v>524</v>
      </c>
    </row>
    <row r="3" spans="1:5" ht="31.5" customHeight="1" x14ac:dyDescent="0.25">
      <c r="A3" s="407">
        <v>2018</v>
      </c>
      <c r="B3" s="588" t="s">
        <v>338</v>
      </c>
      <c r="C3" s="588" t="s">
        <v>335</v>
      </c>
      <c r="D3" s="588" t="s">
        <v>336</v>
      </c>
      <c r="E3" s="588" t="s">
        <v>337</v>
      </c>
    </row>
    <row r="4" spans="1:5" ht="13" x14ac:dyDescent="0.25">
      <c r="A4" s="407" t="s">
        <v>104</v>
      </c>
      <c r="B4" s="589"/>
      <c r="C4" s="589"/>
      <c r="D4" s="589"/>
      <c r="E4" s="589"/>
    </row>
    <row r="5" spans="1:5" ht="13" x14ac:dyDescent="0.25">
      <c r="A5" s="423">
        <v>43101</v>
      </c>
      <c r="B5" s="405">
        <v>8643</v>
      </c>
      <c r="C5" s="405">
        <v>128</v>
      </c>
      <c r="D5" s="405">
        <v>577.3608695652174</v>
      </c>
      <c r="E5" s="405">
        <v>15</v>
      </c>
    </row>
    <row r="6" spans="1:5" ht="13" x14ac:dyDescent="0.25">
      <c r="A6" s="423">
        <v>43132</v>
      </c>
      <c r="B6" s="405">
        <v>11020</v>
      </c>
      <c r="C6" s="405">
        <v>185</v>
      </c>
      <c r="D6" s="405">
        <v>514.31304347826085</v>
      </c>
      <c r="E6" s="405">
        <v>45</v>
      </c>
    </row>
    <row r="7" spans="1:5" ht="13" x14ac:dyDescent="0.25">
      <c r="A7" s="423">
        <v>43160</v>
      </c>
      <c r="B7" s="405">
        <v>10308</v>
      </c>
      <c r="C7" s="405">
        <v>154</v>
      </c>
      <c r="D7" s="405">
        <v>482.14565217391299</v>
      </c>
      <c r="E7" s="405">
        <v>75</v>
      </c>
    </row>
    <row r="8" spans="1:5" ht="13" x14ac:dyDescent="0.25">
      <c r="A8" s="423">
        <v>43191</v>
      </c>
      <c r="B8" s="405">
        <v>8006</v>
      </c>
      <c r="C8" s="405">
        <v>147</v>
      </c>
      <c r="D8" s="405">
        <v>350.76521739130436</v>
      </c>
      <c r="E8" s="405">
        <v>15</v>
      </c>
    </row>
    <row r="9" spans="1:5" ht="13" x14ac:dyDescent="0.25">
      <c r="A9" s="423">
        <v>43221</v>
      </c>
      <c r="B9" s="405">
        <v>7964</v>
      </c>
      <c r="C9" s="405">
        <v>152</v>
      </c>
      <c r="D9" s="405">
        <v>205.32173913043476</v>
      </c>
      <c r="E9" s="405">
        <v>45</v>
      </c>
    </row>
    <row r="10" spans="1:5" ht="13" x14ac:dyDescent="0.25">
      <c r="A10" s="423">
        <v>43252</v>
      </c>
      <c r="B10" s="405">
        <v>8786</v>
      </c>
      <c r="C10" s="405">
        <v>182</v>
      </c>
      <c r="D10" s="405">
        <v>103.46956521739131</v>
      </c>
      <c r="E10" s="405">
        <v>75</v>
      </c>
    </row>
    <row r="11" spans="1:5" ht="13" x14ac:dyDescent="0.25">
      <c r="A11" s="423">
        <v>43282</v>
      </c>
      <c r="B11" s="405">
        <v>6300</v>
      </c>
      <c r="C11" s="405">
        <v>151</v>
      </c>
      <c r="D11" s="405">
        <v>43.080434782608691</v>
      </c>
      <c r="E11" s="405">
        <v>15</v>
      </c>
    </row>
    <row r="12" spans="1:5" ht="13" x14ac:dyDescent="0.25">
      <c r="A12" s="423">
        <v>43313</v>
      </c>
      <c r="B12" s="405">
        <v>6743</v>
      </c>
      <c r="C12" s="405">
        <v>147</v>
      </c>
      <c r="D12" s="405">
        <v>42.978260869565219</v>
      </c>
      <c r="E12" s="405">
        <v>45</v>
      </c>
    </row>
    <row r="13" spans="1:5" ht="13" x14ac:dyDescent="0.25">
      <c r="A13" s="423">
        <v>43344</v>
      </c>
      <c r="B13" s="405">
        <v>9660</v>
      </c>
      <c r="C13" s="405">
        <v>199</v>
      </c>
      <c r="D13" s="405">
        <v>155.98478260869564</v>
      </c>
      <c r="E13" s="405">
        <v>75</v>
      </c>
    </row>
    <row r="14" spans="1:5" ht="13" x14ac:dyDescent="0.25">
      <c r="A14" s="423">
        <v>43374</v>
      </c>
      <c r="B14" s="405">
        <v>7664</v>
      </c>
      <c r="C14" s="405">
        <v>154</v>
      </c>
      <c r="D14" s="405">
        <v>313.0152173913043</v>
      </c>
      <c r="E14" s="405">
        <v>15</v>
      </c>
    </row>
    <row r="15" spans="1:5" ht="13" x14ac:dyDescent="0.25">
      <c r="A15" s="423">
        <v>43405</v>
      </c>
      <c r="B15" s="405">
        <v>9217</v>
      </c>
      <c r="C15" s="405">
        <v>176</v>
      </c>
      <c r="D15" s="405">
        <v>435.38478260869567</v>
      </c>
      <c r="E15" s="405">
        <v>45</v>
      </c>
    </row>
    <row r="16" spans="1:5" ht="13" x14ac:dyDescent="0.25">
      <c r="A16" s="423">
        <v>43435</v>
      </c>
      <c r="B16" s="405">
        <v>10168</v>
      </c>
      <c r="C16" s="405">
        <v>168</v>
      </c>
      <c r="D16" s="405">
        <v>538.35652173913047</v>
      </c>
      <c r="E16" s="405">
        <v>75</v>
      </c>
    </row>
    <row r="18" ht="82.5" customHeight="1" x14ac:dyDescent="0.25"/>
  </sheetData>
  <mergeCells count="4">
    <mergeCell ref="B3:B4"/>
    <mergeCell ref="C3:C4"/>
    <mergeCell ref="D3:D4"/>
    <mergeCell ref="E3:E4"/>
  </mergeCells>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6">
    <tabColor rgb="FF92D050"/>
  </sheetPr>
  <dimension ref="A1:Z390"/>
  <sheetViews>
    <sheetView showGridLines="0" topLeftCell="A9" zoomScaleNormal="100" workbookViewId="0">
      <selection activeCell="AB26" sqref="AB26"/>
    </sheetView>
  </sheetViews>
  <sheetFormatPr baseColWidth="10" defaultColWidth="11.453125" defaultRowHeight="14.5" x14ac:dyDescent="0.35"/>
  <cols>
    <col min="1" max="1" width="2.26953125" style="4" customWidth="1"/>
    <col min="2" max="2" width="21.453125" style="4" customWidth="1"/>
    <col min="3" max="3" width="1.1796875" style="58" customWidth="1"/>
    <col min="4" max="4" width="17" style="22" customWidth="1"/>
    <col min="5" max="5" width="1.1796875" style="282" customWidth="1"/>
    <col min="6" max="6" width="1.1796875" style="273" customWidth="1"/>
    <col min="7" max="7" width="14.81640625" style="22" customWidth="1"/>
    <col min="8" max="8" width="3.26953125" style="23" customWidth="1"/>
    <col min="9" max="9" width="13" style="22" customWidth="1"/>
    <col min="10" max="10" width="3.1796875" style="23" customWidth="1"/>
    <col min="11" max="11" width="13" style="22" customWidth="1"/>
    <col min="12" max="12" width="3.54296875" style="23" customWidth="1"/>
    <col min="13" max="13" width="13" style="22" customWidth="1"/>
    <col min="14" max="14" width="3.81640625" style="23" customWidth="1"/>
    <col min="15" max="15" width="13" style="22" customWidth="1"/>
    <col min="16" max="16" width="3.453125" style="23" hidden="1" customWidth="1"/>
    <col min="17" max="17" width="13" style="22" hidden="1" customWidth="1"/>
    <col min="18" max="18" width="2" style="4" customWidth="1"/>
    <col min="19" max="19" width="8" style="4" hidden="1" customWidth="1"/>
    <col min="20" max="20" width="11.453125" style="4" hidden="1" customWidth="1"/>
    <col min="21" max="21" width="15.54296875" style="4" hidden="1" customWidth="1"/>
    <col min="22" max="22" width="11.453125" style="4"/>
    <col min="23" max="26" width="0" style="4" hidden="1" customWidth="1"/>
    <col min="27" max="16384" width="11.453125" style="4"/>
  </cols>
  <sheetData>
    <row r="1" spans="2:24" ht="20.25" hidden="1" customHeight="1" x14ac:dyDescent="0.35">
      <c r="D1" s="4"/>
      <c r="E1" s="273"/>
      <c r="G1" s="4"/>
      <c r="H1" s="18"/>
      <c r="I1" s="4"/>
      <c r="J1" s="18"/>
      <c r="K1" s="4"/>
      <c r="L1" s="18"/>
      <c r="M1" s="4"/>
      <c r="N1" s="18"/>
      <c r="O1" s="4"/>
      <c r="P1" s="18"/>
      <c r="Q1" s="4"/>
    </row>
    <row r="2" spans="2:24" ht="24" hidden="1" customHeight="1" x14ac:dyDescent="0.35">
      <c r="D2" s="4"/>
      <c r="E2" s="273"/>
      <c r="G2" s="4"/>
      <c r="H2" s="18"/>
      <c r="I2" s="4"/>
      <c r="J2" s="18"/>
      <c r="K2" s="4"/>
      <c r="L2" s="18"/>
      <c r="M2" s="4"/>
      <c r="N2" s="18"/>
      <c r="O2" s="4"/>
      <c r="P2" s="18"/>
      <c r="Q2" s="4"/>
    </row>
    <row r="3" spans="2:24" ht="20.25" hidden="1" customHeight="1" x14ac:dyDescent="0.35">
      <c r="D3" s="4"/>
      <c r="E3" s="273"/>
      <c r="G3" s="4"/>
      <c r="H3" s="18"/>
      <c r="I3" s="4"/>
      <c r="J3" s="18"/>
      <c r="K3" s="4"/>
      <c r="L3" s="18"/>
      <c r="M3" s="4"/>
      <c r="N3" s="18"/>
      <c r="O3" s="4"/>
      <c r="P3" s="18"/>
      <c r="Q3" s="4"/>
    </row>
    <row r="4" spans="2:24" ht="21.75" hidden="1" customHeight="1" x14ac:dyDescent="0.35">
      <c r="D4" s="4"/>
      <c r="E4" s="273"/>
      <c r="G4" s="4"/>
      <c r="H4" s="18"/>
      <c r="I4" s="4"/>
      <c r="J4" s="18"/>
      <c r="K4" s="4"/>
      <c r="L4" s="18"/>
      <c r="M4" s="4"/>
      <c r="N4" s="18"/>
      <c r="O4" s="4"/>
      <c r="P4" s="18"/>
      <c r="Q4" s="4"/>
    </row>
    <row r="5" spans="2:24" ht="21" hidden="1" customHeight="1" x14ac:dyDescent="0.35">
      <c r="D5" s="4"/>
      <c r="E5" s="273"/>
      <c r="G5" s="4"/>
      <c r="H5" s="18"/>
      <c r="I5" s="4"/>
      <c r="J5" s="18"/>
      <c r="K5" s="4"/>
      <c r="L5" s="18"/>
      <c r="M5" s="4"/>
      <c r="N5" s="18"/>
      <c r="O5" s="4"/>
      <c r="P5" s="18"/>
      <c r="Q5" s="4"/>
    </row>
    <row r="6" spans="2:24" ht="18.75" hidden="1" customHeight="1" x14ac:dyDescent="0.35">
      <c r="D6" s="4"/>
      <c r="E6" s="273"/>
      <c r="G6" s="4"/>
      <c r="H6" s="18"/>
      <c r="I6" s="4"/>
      <c r="J6" s="18"/>
      <c r="K6" s="4"/>
      <c r="L6" s="18"/>
      <c r="M6" s="4"/>
      <c r="N6" s="18"/>
      <c r="O6" s="4"/>
      <c r="P6" s="18"/>
      <c r="Q6" s="4"/>
    </row>
    <row r="7" spans="2:24" ht="18" hidden="1" customHeight="1" x14ac:dyDescent="0.35">
      <c r="D7" s="4"/>
      <c r="E7" s="273"/>
      <c r="G7" s="4"/>
      <c r="H7" s="18"/>
      <c r="I7" s="4"/>
      <c r="J7" s="18"/>
      <c r="K7" s="4"/>
      <c r="L7" s="18"/>
      <c r="M7" s="4"/>
      <c r="N7" s="18"/>
      <c r="O7" s="4"/>
      <c r="P7" s="18"/>
      <c r="Q7" s="4"/>
    </row>
    <row r="8" spans="2:24" ht="18.75" hidden="1" customHeight="1" x14ac:dyDescent="0.35">
      <c r="D8" s="4"/>
      <c r="E8" s="273"/>
      <c r="G8" s="4"/>
      <c r="H8" s="18"/>
      <c r="I8" s="4"/>
      <c r="J8" s="18"/>
      <c r="K8" s="4"/>
      <c r="L8" s="18"/>
      <c r="M8" s="4"/>
      <c r="N8" s="18"/>
      <c r="O8" s="4"/>
      <c r="P8" s="18"/>
      <c r="Q8" s="4"/>
    </row>
    <row r="9" spans="2:24" ht="32.25" customHeight="1" thickBot="1" x14ac:dyDescent="0.4">
      <c r="B9" s="274" t="s">
        <v>169</v>
      </c>
      <c r="C9" s="272"/>
      <c r="D9" s="29"/>
      <c r="E9" s="273"/>
      <c r="G9" s="274" t="s">
        <v>90</v>
      </c>
      <c r="H9" s="18"/>
      <c r="J9" s="18"/>
      <c r="L9" s="18"/>
      <c r="M9" s="4"/>
      <c r="N9" s="18"/>
      <c r="O9" s="4"/>
      <c r="P9" s="18"/>
      <c r="Q9" s="4"/>
    </row>
    <row r="10" spans="2:24" ht="21" hidden="1" customHeight="1" thickBot="1" x14ac:dyDescent="0.4">
      <c r="B10" s="15"/>
      <c r="C10" s="272"/>
      <c r="D10" s="273"/>
      <c r="E10" s="273"/>
      <c r="G10" s="273"/>
      <c r="H10" s="280"/>
      <c r="I10" s="267">
        <f>Baseline!G55</f>
        <v>35.880449090508378</v>
      </c>
      <c r="K10" s="267">
        <f>Baseline!G56</f>
        <v>5.7655584581291377</v>
      </c>
      <c r="M10" s="267">
        <f>Baseline!G57</f>
        <v>19.240871750773113</v>
      </c>
      <c r="O10" s="267">
        <f>Baseline!G58</f>
        <v>0</v>
      </c>
      <c r="P10" s="280"/>
      <c r="Q10" s="273"/>
    </row>
    <row r="11" spans="2:24" ht="18.75" hidden="1" customHeight="1" collapsed="1" thickBot="1" x14ac:dyDescent="0.4">
      <c r="B11" s="12"/>
      <c r="C11" s="281"/>
      <c r="D11" s="275"/>
      <c r="F11" s="276"/>
      <c r="G11" s="277"/>
      <c r="H11" s="19"/>
      <c r="I11" s="278"/>
      <c r="J11" s="19"/>
      <c r="K11" s="278"/>
      <c r="L11" s="592"/>
      <c r="M11" s="592"/>
      <c r="N11" s="592"/>
      <c r="O11" s="593"/>
      <c r="P11" s="279"/>
      <c r="Q11" s="278"/>
      <c r="R11" s="11"/>
    </row>
    <row r="12" spans="2:24" ht="13.5" customHeight="1" x14ac:dyDescent="0.35">
      <c r="B12" s="264" t="s">
        <v>186</v>
      </c>
      <c r="C12" s="59"/>
      <c r="D12" s="598" t="str">
        <f>CONCATENATE(Reference!D21," Messung")</f>
        <v>Gas Consumtion Messung</v>
      </c>
      <c r="E12" s="283"/>
      <c r="F12" s="41"/>
      <c r="G12" s="598" t="str">
        <f>CONCATENATE(Reference!D21," Modell")</f>
        <v>Gas Consumtion Modell</v>
      </c>
      <c r="H12" s="19"/>
      <c r="I12" s="598" t="str">
        <f>IF(Baseline!F55="","",CONCATENATE(Reference!E21))</f>
        <v>Production</v>
      </c>
      <c r="K12" s="598" t="str">
        <f>IF(Baseline!F56="","",CONCATENATE(Reference!F21))</f>
        <v>Heating degree Days</v>
      </c>
      <c r="M12" s="598" t="str">
        <f>IF(Baseline!F57="","",CONCATENATE(Reference!G21))</f>
        <v>Days since last external Maintenance</v>
      </c>
      <c r="O12" s="598" t="str">
        <f>IF(Baseline!F58="","",CONCATENATE(Reference!H21))</f>
        <v/>
      </c>
      <c r="Q12" s="267">
        <f>Baseline!G59</f>
        <v>626.18362874044828</v>
      </c>
    </row>
    <row r="13" spans="2:24" ht="8.25" customHeight="1" x14ac:dyDescent="0.35">
      <c r="B13" s="262"/>
      <c r="C13" s="59"/>
      <c r="D13" s="602"/>
      <c r="E13" s="283"/>
      <c r="F13" s="41"/>
      <c r="G13" s="602"/>
      <c r="I13" s="599"/>
      <c r="K13" s="599"/>
      <c r="M13" s="599"/>
      <c r="O13" s="599"/>
      <c r="Q13" s="266"/>
    </row>
    <row r="14" spans="2:24" ht="15" hidden="1" customHeight="1" thickBot="1" x14ac:dyDescent="0.4">
      <c r="B14" s="263"/>
      <c r="C14" s="59"/>
      <c r="D14" s="534"/>
      <c r="E14" s="40"/>
      <c r="F14" s="42"/>
      <c r="G14" s="534"/>
      <c r="H14" s="45"/>
      <c r="I14" s="600"/>
      <c r="J14" s="86" t="s">
        <v>105</v>
      </c>
      <c r="K14" s="600"/>
      <c r="L14" s="86" t="s">
        <v>105</v>
      </c>
      <c r="M14" s="600"/>
      <c r="N14" s="86" t="s">
        <v>105</v>
      </c>
      <c r="O14" s="600"/>
      <c r="P14" s="86" t="s">
        <v>105</v>
      </c>
      <c r="Q14" s="268"/>
      <c r="R14" s="86" t="s">
        <v>105</v>
      </c>
      <c r="S14" s="86"/>
    </row>
    <row r="15" spans="2:24" ht="6" hidden="1" customHeight="1" thickBot="1" x14ac:dyDescent="0.4">
      <c r="B15" s="262"/>
      <c r="C15" s="59"/>
      <c r="D15" s="534"/>
      <c r="E15" s="40"/>
      <c r="F15" s="42"/>
      <c r="G15" s="534"/>
      <c r="H15" s="67"/>
      <c r="I15" s="600"/>
      <c r="J15" s="67"/>
      <c r="K15" s="600"/>
      <c r="L15" s="67"/>
      <c r="M15" s="600"/>
      <c r="N15" s="67"/>
      <c r="O15" s="600"/>
      <c r="P15" s="67"/>
      <c r="Q15" s="269"/>
    </row>
    <row r="16" spans="2:24" s="89" customFormat="1" ht="16.5" customHeight="1" x14ac:dyDescent="0.35">
      <c r="B16" s="265"/>
      <c r="C16" s="59"/>
      <c r="D16" s="534"/>
      <c r="E16" s="283"/>
      <c r="F16" s="257"/>
      <c r="G16" s="534"/>
      <c r="H16" s="44"/>
      <c r="I16" s="600"/>
      <c r="J16" s="270" t="s">
        <v>43</v>
      </c>
      <c r="K16" s="600"/>
      <c r="L16" s="270" t="s">
        <v>43</v>
      </c>
      <c r="M16" s="600"/>
      <c r="N16" s="270" t="s">
        <v>43</v>
      </c>
      <c r="O16" s="600"/>
      <c r="P16" s="270" t="s">
        <v>43</v>
      </c>
      <c r="Q16" s="594"/>
      <c r="T16" s="259"/>
      <c r="U16" s="259"/>
      <c r="V16" s="4"/>
      <c r="W16" s="259"/>
      <c r="X16" s="259"/>
    </row>
    <row r="17" spans="1:26" s="89" customFormat="1" ht="14.25" customHeight="1" thickBot="1" x14ac:dyDescent="0.4">
      <c r="B17" s="265"/>
      <c r="C17" s="59"/>
      <c r="D17" s="535"/>
      <c r="E17" s="283"/>
      <c r="F17" s="257"/>
      <c r="G17" s="535"/>
      <c r="H17" s="258"/>
      <c r="I17" s="601"/>
      <c r="J17" s="260"/>
      <c r="K17" s="601"/>
      <c r="L17" s="260"/>
      <c r="M17" s="601"/>
      <c r="N17" s="260"/>
      <c r="O17" s="601"/>
      <c r="P17" s="271"/>
      <c r="Q17" s="595"/>
      <c r="T17" s="259"/>
      <c r="U17" s="259"/>
      <c r="V17" s="4"/>
      <c r="W17" s="259"/>
      <c r="X17" s="259"/>
    </row>
    <row r="18" spans="1:26" ht="9.75" customHeight="1" x14ac:dyDescent="0.35">
      <c r="B18" s="262"/>
      <c r="C18" s="59"/>
      <c r="D18" s="596" t="str">
        <f>G18</f>
        <v>MWh</v>
      </c>
      <c r="E18" s="40"/>
      <c r="F18" s="42"/>
      <c r="G18" s="596" t="str">
        <f>Reference!D23</f>
        <v>MWh</v>
      </c>
      <c r="H18" s="45"/>
      <c r="I18" s="596" t="str">
        <f>IF(I12="","",Reference!E23)</f>
        <v>Tons</v>
      </c>
      <c r="J18" s="261"/>
      <c r="K18" s="596" t="str">
        <f>IF(K12="","",Reference!F23)</f>
        <v>Kd</v>
      </c>
      <c r="L18" s="261"/>
      <c r="M18" s="596" t="str">
        <f>IF(M12="","",Reference!G23)</f>
        <v>Days</v>
      </c>
      <c r="N18" s="261"/>
      <c r="O18" s="596" t="str">
        <f>IF(N12="","",Reference!H23)</f>
        <v/>
      </c>
      <c r="P18" s="45"/>
      <c r="Q18" s="596" t="str">
        <f>G18</f>
        <v>MWh</v>
      </c>
    </row>
    <row r="19" spans="1:26" ht="9.75" customHeight="1" thickBot="1" x14ac:dyDescent="0.4">
      <c r="B19" s="263"/>
      <c r="C19" s="60"/>
      <c r="D19" s="605"/>
      <c r="E19" s="40"/>
      <c r="F19" s="42"/>
      <c r="G19" s="606"/>
      <c r="H19" s="19"/>
      <c r="I19" s="597"/>
      <c r="J19" s="219"/>
      <c r="K19" s="597"/>
      <c r="L19" s="219"/>
      <c r="M19" s="597"/>
      <c r="N19" s="219"/>
      <c r="O19" s="597"/>
      <c r="P19" s="19"/>
      <c r="Q19" s="605"/>
      <c r="T19" s="65"/>
      <c r="U19" s="65"/>
      <c r="V19" s="65"/>
    </row>
    <row r="20" spans="1:26" ht="14.25" hidden="1" customHeight="1" thickBot="1" x14ac:dyDescent="0.4">
      <c r="B20" s="166" t="s">
        <v>102</v>
      </c>
      <c r="C20" s="60"/>
      <c r="D20" s="167">
        <f>SUM(D25:D390)</f>
        <v>104479</v>
      </c>
      <c r="E20" s="284"/>
      <c r="F20" s="168"/>
      <c r="G20" s="167">
        <f>SUM(G25:G390)</f>
        <v>110423.32695408975</v>
      </c>
      <c r="H20" s="169"/>
      <c r="I20" s="293">
        <f>SUM(I25:I390)</f>
        <v>1974</v>
      </c>
      <c r="J20" s="167">
        <f>SUM(X25:X390)</f>
        <v>21691.046159123358</v>
      </c>
      <c r="K20" s="293">
        <f>SUM(K25:K390)</f>
        <v>3762.1760869565219</v>
      </c>
      <c r="L20" s="167">
        <f>SUM(Y25:Y390)</f>
        <v>10390.070745417481</v>
      </c>
      <c r="M20" s="293">
        <f>SUM(M25:M390)</f>
        <v>540</v>
      </c>
      <c r="N20" s="290">
        <f>SUM(Z24:Z389)</f>
        <v>0</v>
      </c>
      <c r="O20" s="293">
        <f>SUM(O25:O390)</f>
        <v>0</v>
      </c>
      <c r="P20" s="292"/>
      <c r="Q20" s="167">
        <f>SUM(Q25:Q390)</f>
        <v>7514.2035448853812</v>
      </c>
    </row>
    <row r="21" spans="1:26" ht="11.25" hidden="1" customHeight="1" x14ac:dyDescent="0.35">
      <c r="B21" s="77"/>
      <c r="C21" s="78"/>
      <c r="D21" s="49"/>
      <c r="E21" s="49"/>
      <c r="F21" s="79"/>
      <c r="G21" s="49"/>
      <c r="H21" s="48"/>
      <c r="I21" s="294"/>
      <c r="J21" s="288"/>
      <c r="K21" s="294"/>
      <c r="L21" s="288"/>
      <c r="M21" s="294"/>
      <c r="N21" s="288"/>
      <c r="O21" s="294"/>
      <c r="P21" s="48"/>
      <c r="Q21" s="47"/>
    </row>
    <row r="22" spans="1:26" ht="340.5" hidden="1" customHeight="1" x14ac:dyDescent="0.35">
      <c r="B22" s="603"/>
      <c r="C22" s="604"/>
      <c r="D22" s="604"/>
      <c r="E22" s="604"/>
      <c r="F22" s="604"/>
      <c r="G22" s="604"/>
      <c r="H22" s="20"/>
      <c r="I22" s="295"/>
      <c r="J22" s="220"/>
      <c r="K22" s="295"/>
      <c r="L22" s="220"/>
      <c r="M22" s="295"/>
      <c r="N22" s="220"/>
      <c r="O22" s="295"/>
      <c r="P22" s="20"/>
      <c r="Q22" s="21"/>
      <c r="R22" s="11"/>
      <c r="S22" s="11"/>
    </row>
    <row r="23" spans="1:26" ht="16.5" hidden="1" customHeight="1" thickBot="1" x14ac:dyDescent="0.4">
      <c r="B23" s="170"/>
      <c r="C23" s="171"/>
      <c r="D23" s="80"/>
      <c r="E23" s="80"/>
      <c r="F23" s="81"/>
      <c r="G23" s="80"/>
      <c r="H23" s="82"/>
      <c r="I23" s="296"/>
      <c r="J23" s="288"/>
      <c r="K23" s="296"/>
      <c r="L23" s="288"/>
      <c r="M23" s="296"/>
      <c r="N23" s="288"/>
      <c r="O23" s="296"/>
      <c r="P23" s="82"/>
      <c r="Q23" s="83"/>
      <c r="R23" s="15"/>
      <c r="S23" s="15" t="s">
        <v>156</v>
      </c>
      <c r="T23" s="15" t="s">
        <v>103</v>
      </c>
      <c r="U23" s="4" t="s">
        <v>104</v>
      </c>
    </row>
    <row r="24" spans="1:26" ht="24.75" hidden="1" customHeight="1" collapsed="1" thickBot="1" x14ac:dyDescent="0.4">
      <c r="A24" s="4">
        <v>0</v>
      </c>
      <c r="B24" s="63" t="s">
        <v>57</v>
      </c>
      <c r="C24" s="61"/>
      <c r="D24" s="75"/>
      <c r="E24" s="40"/>
      <c r="F24" s="43"/>
      <c r="G24" s="76"/>
      <c r="H24" s="46"/>
      <c r="I24" s="297"/>
      <c r="J24" s="255"/>
      <c r="K24" s="297"/>
      <c r="L24" s="255">
        <f>L20</f>
        <v>10390.070745417481</v>
      </c>
      <c r="M24" s="297">
        <f>M20</f>
        <v>540</v>
      </c>
      <c r="N24" s="291">
        <f>N20</f>
        <v>0</v>
      </c>
      <c r="O24" s="297">
        <f>O20</f>
        <v>0</v>
      </c>
      <c r="P24" s="46"/>
      <c r="Q24" s="76">
        <f>Q20</f>
        <v>7514.2035448853812</v>
      </c>
      <c r="Z24" s="73" t="str">
        <f>IFERROR(O$10*O25,'!'!$GJ$15)</f>
        <v>N</v>
      </c>
    </row>
    <row r="25" spans="1:26" x14ac:dyDescent="0.35">
      <c r="A25" s="4">
        <f>A24+1</f>
        <v>1</v>
      </c>
      <c r="B25" s="286">
        <f>IFERROR(IF(Report!$D$4='!'!$HE$4,VLOOKUP(A25,Reference!$B$25:$H$390,2,FALSE),VLOOKUP(A25,Monitoring!$B$25:$H$390,2,FALSE)),"")</f>
        <v>43101</v>
      </c>
      <c r="C25" s="58" t="str">
        <f>Reference!A25</f>
        <v/>
      </c>
      <c r="D25" s="287">
        <f>IFERROR(IF(Report!$D$4='!'!$HE$4,VLOOKUP(A25,Reference!$B$25:$H$390,3,FALSE),VLOOKUP(A25,Monitoring!$B$25:$H$390,3,FALSE)),"")</f>
        <v>8643</v>
      </c>
      <c r="E25" s="284"/>
      <c r="F25" s="254"/>
      <c r="G25" s="74">
        <f>IF(D25="","",(SUM(W25,X25,Y25,Z24,Q25)))</f>
        <v>8836.3020335016499</v>
      </c>
      <c r="H25" s="50"/>
      <c r="I25" s="298">
        <f>IF($I$12="","",IFERROR(IF(Report!$D$4='!'!$HE$4,VLOOKUP(A25,Reference!$B$25:$H$390,4,FALSE),VLOOKUP(A25,Monitoring!$B$25:$H$390,4,FALSE)),""))</f>
        <v>128</v>
      </c>
      <c r="J25" s="289"/>
      <c r="K25" s="298">
        <f>IF($K$12="","",IFERROR(IF(Report!$D$4='!'!$HE$4,VLOOKUP(A25,Reference!$B$25:$H$390,5,FALSE),VLOOKUP(A25,Monitoring!$B$25:$H$390,5,FALSE)),""))</f>
        <v>577.3608695652174</v>
      </c>
      <c r="L25" s="289"/>
      <c r="M25" s="298">
        <f>IF($M$12="","",IFERROR(IF(Report!$D$4='!'!$HE$4,VLOOKUP(A25,Reference!$B$25:$H$390,6,FALSE),VLOOKUP(A25,Monitoring!$B$25:$H$390,6,FALSE)),""))</f>
        <v>15</v>
      </c>
      <c r="N25" s="289"/>
      <c r="O25" s="298" t="str">
        <f>IF($O$12="","",IFERROR(IF(Report!$D$4='!'!$HE$4,VLOOKUP(A25,Reference!$B$25:$H$390,7,FALSE),VLOOKUP(A25,Monitoring!$B$25:$H$390,7,FALSE)),""))</f>
        <v/>
      </c>
      <c r="P25" s="50"/>
      <c r="Q25" s="74">
        <f>IF(B25='!'!$GJ$15,'!'!$GJ$15,$Q$12)</f>
        <v>626.18362874044828</v>
      </c>
      <c r="S25" s="4">
        <f>IFERROR(ABS(T25),'!'!$GJ$15)</f>
        <v>193.30203350164993</v>
      </c>
      <c r="T25" s="84">
        <f>IFERROR(+G25-D25,'!'!$GJ$15)</f>
        <v>193.30203350164993</v>
      </c>
      <c r="U25" s="64">
        <f>B25</f>
        <v>43101</v>
      </c>
      <c r="W25" s="73">
        <f>IFERROR(I$10*I25,'!'!$GJ$15)</f>
        <v>4592.6974835850724</v>
      </c>
      <c r="X25" s="73">
        <f>IFERROR(K$10*K25,'!'!$GJ$15)</f>
        <v>3328.8078449145332</v>
      </c>
      <c r="Y25" s="73">
        <f>IFERROR(M$10*M25,'!'!$GJ$15)</f>
        <v>288.61307626159669</v>
      </c>
      <c r="Z25" s="153" t="str">
        <f>IFERROR(O$10*O26,'!'!$GJ$15)</f>
        <v>N</v>
      </c>
    </row>
    <row r="26" spans="1:26" x14ac:dyDescent="0.35">
      <c r="A26" s="4">
        <f t="shared" ref="A26:A89" si="0">A25+1</f>
        <v>2</v>
      </c>
      <c r="B26" s="286">
        <f>IFERROR(IF(Report!$D$4='!'!$HE$4,VLOOKUP(A26,Reference!$B$25:$H$390,2,FALSE),VLOOKUP(A26,Monitoring!$B$25:$H$390,2,FALSE)),'!'!$GJ$15)</f>
        <v>43132</v>
      </c>
      <c r="C26" s="58" t="str">
        <f>Reference!A26</f>
        <v/>
      </c>
      <c r="D26" s="287">
        <f>IFERROR(IF(Report!$D$4='!'!$HE$4,VLOOKUP(A26,Reference!$B$25:$H$390,3,FALSE),VLOOKUP(A26,Monitoring!$B$25:$H$390,3,FALSE)),'!'!$GJ$15)</f>
        <v>11020</v>
      </c>
      <c r="E26" s="284"/>
      <c r="F26" s="254"/>
      <c r="G26" s="151">
        <f>IF(D26='!'!$GJ$15,'!'!$GJ$15,(SUM(W26,X26,Y26,Z25,Q26)))</f>
        <v>11095.207857221514</v>
      </c>
      <c r="H26" s="52"/>
      <c r="I26" s="299">
        <f>IF($I$12="","",IFERROR(IF(Report!$D$4='!'!$HE$4,VLOOKUP(A26,Reference!$B$25:$H$390,4,FALSE),VLOOKUP(A26,Monitoring!$B$25:$H$390,4,FALSE)),""))</f>
        <v>185</v>
      </c>
      <c r="J26" s="256"/>
      <c r="K26" s="299">
        <f>IF($K$12="","",IFERROR(IF(Report!$D$4='!'!$HE$4,VLOOKUP(A26,Reference!$B$25:$H$390,5,FALSE),VLOOKUP(A26,Monitoring!$B$25:$H$390,5,FALSE)),""))</f>
        <v>514.31304347826085</v>
      </c>
      <c r="L26" s="256"/>
      <c r="M26" s="299">
        <f>IF($M$12="","",IFERROR(IF(Report!$D$4='!'!$HE$4,VLOOKUP(A26,Reference!$B$25:$H$390,6,FALSE),VLOOKUP(A26,Monitoring!$B$25:$H$390,6,FALSE)),""))</f>
        <v>45</v>
      </c>
      <c r="N26" s="256"/>
      <c r="O26" s="299" t="str">
        <f>IF($O$12="","",IFERROR(IF(Report!$D$4='!'!$HE$4,VLOOKUP(A26,Reference!$B$25:$H$390,7,FALSE),VLOOKUP(A26,Monitoring!$B$25:$H$390,7,FALSE)),""))</f>
        <v/>
      </c>
      <c r="P26" s="52"/>
      <c r="Q26" s="151">
        <f>IF(B26='!'!$GJ$15,'!'!$GJ$15,$Q$12)</f>
        <v>626.18362874044828</v>
      </c>
      <c r="S26" s="4">
        <f>IFERROR(ABS(T26),'!'!$GJ$15)</f>
        <v>75.207857221514132</v>
      </c>
      <c r="T26" s="84">
        <f>IFERROR(+G26-D26,'!'!$GJ$15)</f>
        <v>75.207857221514132</v>
      </c>
      <c r="U26" s="64">
        <f t="shared" ref="U26:U89" si="1">B26</f>
        <v>43132</v>
      </c>
      <c r="W26" s="153">
        <f>IFERROR(I$10*I26,'!'!$GJ$15)</f>
        <v>6637.8830817440503</v>
      </c>
      <c r="X26" s="153">
        <f>IFERROR(K$10*K26,'!'!$GJ$15)</f>
        <v>2965.3019179522257</v>
      </c>
      <c r="Y26" s="153">
        <f>IFERROR(M$10*M26,'!'!$GJ$15)</f>
        <v>865.83922878479007</v>
      </c>
      <c r="Z26" s="153" t="str">
        <f>IFERROR(O$10*O27,'!'!$GJ$15)</f>
        <v>N</v>
      </c>
    </row>
    <row r="27" spans="1:26" x14ac:dyDescent="0.35">
      <c r="A27" s="4">
        <f t="shared" si="0"/>
        <v>3</v>
      </c>
      <c r="B27" s="286">
        <f>IFERROR(IF(Report!$D$4='!'!$HE$4,VLOOKUP(A27,Reference!$B$25:$H$390,2,FALSE),VLOOKUP(A27,Monitoring!$B$25:$H$390,2,FALSE)),'!'!$GJ$15)</f>
        <v>43160</v>
      </c>
      <c r="C27" s="58" t="str">
        <f>Reference!A27</f>
        <v/>
      </c>
      <c r="D27" s="287">
        <f>IFERROR(IF(Report!$D$4='!'!$HE$4,VLOOKUP(A27,Reference!$B$25:$H$390,3,FALSE),VLOOKUP(A27,Monitoring!$B$25:$H$390,3,FALSE)),'!'!$GJ$15)</f>
        <v>10308</v>
      </c>
      <c r="E27" s="284"/>
      <c r="F27" s="254"/>
      <c r="G27" s="151">
        <f>IF(D27='!'!$GJ$15,'!'!$GJ$15,(SUM(W27,X27,Y27,Z26,Q27)))</f>
        <v>10374.677112928213</v>
      </c>
      <c r="H27" s="52"/>
      <c r="I27" s="299">
        <f>IF($I$12="","",IFERROR(IF(Report!$D$4='!'!$HE$4,VLOOKUP(A27,Reference!$B$25:$H$390,4,FALSE),VLOOKUP(A27,Monitoring!$B$25:$H$390,4,FALSE)),""))</f>
        <v>154</v>
      </c>
      <c r="J27" s="256"/>
      <c r="K27" s="299">
        <f>IF($K$12="","",IFERROR(IF(Report!$D$4='!'!$HE$4,VLOOKUP(A27,Reference!$B$25:$H$390,5,FALSE),VLOOKUP(A27,Monitoring!$B$25:$H$390,5,FALSE)),""))</f>
        <v>482.14565217391299</v>
      </c>
      <c r="L27" s="256"/>
      <c r="M27" s="299">
        <f>IF($M$12="","",IFERROR(IF(Report!$D$4='!'!$HE$4,VLOOKUP(A27,Reference!$B$25:$H$390,6,FALSE),VLOOKUP(A27,Monitoring!$B$25:$H$390,6,FALSE)),""))</f>
        <v>75</v>
      </c>
      <c r="N27" s="256"/>
      <c r="O27" s="299" t="str">
        <f>IF($O$12="","",IFERROR(IF(Report!$D$4='!'!$HE$4,VLOOKUP(A27,Reference!$B$25:$H$390,7,FALSE),VLOOKUP(A27,Monitoring!$B$25:$H$390,7,FALSE)),""))</f>
        <v/>
      </c>
      <c r="P27" s="52"/>
      <c r="Q27" s="151">
        <f>IF(B27='!'!$GJ$15,'!'!$GJ$15,$Q$12)</f>
        <v>626.18362874044828</v>
      </c>
      <c r="S27" s="4">
        <f>IFERROR(ABS(T27),'!'!$GJ$15)</f>
        <v>66.677112928213319</v>
      </c>
      <c r="T27" s="84">
        <f>IFERROR(+G27-D27,'!'!$GJ$15)</f>
        <v>66.677112928213319</v>
      </c>
      <c r="U27" s="64">
        <f t="shared" si="1"/>
        <v>43160</v>
      </c>
      <c r="W27" s="153">
        <f>IFERROR(I$10*I27,'!'!$GJ$15)</f>
        <v>5525.5891599382903</v>
      </c>
      <c r="X27" s="153">
        <f>IFERROR(K$10*K27,'!'!$GJ$15)</f>
        <v>2779.8389429414933</v>
      </c>
      <c r="Y27" s="153">
        <f>IFERROR(M$10*M27,'!'!$GJ$15)</f>
        <v>1443.0653813079834</v>
      </c>
      <c r="Z27" s="153" t="str">
        <f>IFERROR(O$10*O28,'!'!$GJ$15)</f>
        <v>N</v>
      </c>
    </row>
    <row r="28" spans="1:26" x14ac:dyDescent="0.35">
      <c r="A28" s="4">
        <f t="shared" si="0"/>
        <v>4</v>
      </c>
      <c r="B28" s="286">
        <f>IFERROR(IF(Report!$D$4='!'!$HE$4,VLOOKUP(A28,Reference!$B$25:$H$390,2,FALSE),VLOOKUP(A28,Monitoring!$B$25:$H$390,2,FALSE)),'!'!$GJ$15)</f>
        <v>43191</v>
      </c>
      <c r="C28" s="58" t="str">
        <f>Reference!A28</f>
        <v/>
      </c>
      <c r="D28" s="287">
        <f>IFERROR(IF(Report!$D$4='!'!$HE$4,VLOOKUP(A28,Reference!$B$25:$H$390,3,FALSE),VLOOKUP(A28,Monitoring!$B$25:$H$390,3,FALSE)),'!'!$GJ$15)</f>
        <v>8006</v>
      </c>
      <c r="E28" s="284"/>
      <c r="F28" s="254"/>
      <c r="G28" s="151">
        <f>IF(D28='!'!$GJ$15,'!'!$GJ$15,(SUM(W28,X28,Y28,Z27,Q28)))</f>
        <v>8211.580087254717</v>
      </c>
      <c r="H28" s="52"/>
      <c r="I28" s="299">
        <f>IF($I$12="","",IFERROR(IF(Report!$D$4='!'!$HE$4,VLOOKUP(A28,Reference!$B$25:$H$390,4,FALSE),VLOOKUP(A28,Monitoring!$B$25:$H$390,4,FALSE)),""))</f>
        <v>147</v>
      </c>
      <c r="J28" s="256"/>
      <c r="K28" s="299">
        <f>IF($K$12="","",IFERROR(IF(Report!$D$4='!'!$HE$4,VLOOKUP(A28,Reference!$B$25:$H$390,5,FALSE),VLOOKUP(A28,Monitoring!$B$25:$H$390,5,FALSE)),""))</f>
        <v>350.76521739130436</v>
      </c>
      <c r="L28" s="256"/>
      <c r="M28" s="299">
        <f>IF($M$12="","",IFERROR(IF(Report!$D$4='!'!$HE$4,VLOOKUP(A28,Reference!$B$25:$H$390,6,FALSE),VLOOKUP(A28,Monitoring!$B$25:$H$390,6,FALSE)),""))</f>
        <v>15</v>
      </c>
      <c r="N28" s="256"/>
      <c r="O28" s="299" t="str">
        <f>IF($O$12="","",IFERROR(IF(Report!$D$4='!'!$HE$4,VLOOKUP(A28,Reference!$B$25:$H$390,7,FALSE),VLOOKUP(A28,Monitoring!$B$25:$H$390,7,FALSE)),""))</f>
        <v/>
      </c>
      <c r="P28" s="52"/>
      <c r="Q28" s="151">
        <f>IF(B28='!'!$GJ$15,'!'!$GJ$15,$Q$12)</f>
        <v>626.18362874044828</v>
      </c>
      <c r="S28" s="4">
        <f>IFERROR(ABS(T28),'!'!$GJ$15)</f>
        <v>205.580087254717</v>
      </c>
      <c r="T28" s="84">
        <f>IFERROR(+G28-D28,'!'!$GJ$15)</f>
        <v>205.580087254717</v>
      </c>
      <c r="U28" s="64">
        <f t="shared" si="1"/>
        <v>43191</v>
      </c>
      <c r="W28" s="153">
        <f>IFERROR(I$10*I28,'!'!$GJ$15)</f>
        <v>5274.426016304732</v>
      </c>
      <c r="X28" s="153">
        <f>IFERROR(K$10*K28,'!'!$GJ$15)</f>
        <v>2022.3573659479405</v>
      </c>
      <c r="Y28" s="153">
        <f>IFERROR(M$10*M28,'!'!$GJ$15)</f>
        <v>288.61307626159669</v>
      </c>
      <c r="Z28" s="153" t="str">
        <f>IFERROR(O$10*O29,'!'!$GJ$15)</f>
        <v>N</v>
      </c>
    </row>
    <row r="29" spans="1:26" x14ac:dyDescent="0.35">
      <c r="A29" s="4">
        <f t="shared" si="0"/>
        <v>5</v>
      </c>
      <c r="B29" s="286">
        <f>IFERROR(IF(Report!$D$4='!'!$HE$4,VLOOKUP(A29,Reference!$B$25:$H$390,2,FALSE),VLOOKUP(A29,Monitoring!$B$25:$H$390,2,FALSE)),'!'!$GJ$15)</f>
        <v>43221</v>
      </c>
      <c r="C29" s="58" t="str">
        <f>Reference!A29</f>
        <v/>
      </c>
      <c r="D29" s="287">
        <f>IFERROR(IF(Report!$D$4='!'!$HE$4,VLOOKUP(A29,Reference!$B$25:$H$390,3,FALSE),VLOOKUP(A29,Monitoring!$B$25:$H$390,3,FALSE)),'!'!$GJ$15)</f>
        <v>7964</v>
      </c>
      <c r="E29" s="284"/>
      <c r="F29" s="254"/>
      <c r="G29" s="151">
        <f>IF(D29='!'!$GJ$15,'!'!$GJ$15,(SUM(W29,X29,Y29,Z28,Q29)))</f>
        <v>8129.6456089637741</v>
      </c>
      <c r="H29" s="52"/>
      <c r="I29" s="299">
        <f>IF($I$12="","",IFERROR(IF(Report!$D$4='!'!$HE$4,VLOOKUP(A29,Reference!$B$25:$H$390,4,FALSE),VLOOKUP(A29,Monitoring!$B$25:$H$390,4,FALSE)),""))</f>
        <v>152</v>
      </c>
      <c r="J29" s="256"/>
      <c r="K29" s="299">
        <f>IF($K$12="","",IFERROR(IF(Report!$D$4='!'!$HE$4,VLOOKUP(A29,Reference!$B$25:$H$390,5,FALSE),VLOOKUP(A29,Monitoring!$B$25:$H$390,5,FALSE)),""))</f>
        <v>205.32173913043476</v>
      </c>
      <c r="L29" s="256"/>
      <c r="M29" s="299">
        <f>IF($M$12="","",IFERROR(IF(Report!$D$4='!'!$HE$4,VLOOKUP(A29,Reference!$B$25:$H$390,6,FALSE),VLOOKUP(A29,Monitoring!$B$25:$H$390,6,FALSE)),""))</f>
        <v>45</v>
      </c>
      <c r="N29" s="256"/>
      <c r="O29" s="299" t="str">
        <f>IF($O$12="","",IFERROR(IF(Report!$D$4='!'!$HE$4,VLOOKUP(A29,Reference!$B$25:$H$390,7,FALSE),VLOOKUP(A29,Monitoring!$B$25:$H$390,7,FALSE)),""))</f>
        <v/>
      </c>
      <c r="P29" s="52"/>
      <c r="Q29" s="151">
        <f>IF(B29='!'!$GJ$15,'!'!$GJ$15,$Q$12)</f>
        <v>626.18362874044828</v>
      </c>
      <c r="S29" s="4">
        <f>IFERROR(ABS(T29),'!'!$GJ$15)</f>
        <v>165.64560896377407</v>
      </c>
      <c r="T29" s="84">
        <f>IFERROR(+G29-D29,'!'!$GJ$15)</f>
        <v>165.64560896377407</v>
      </c>
      <c r="U29" s="64">
        <f t="shared" si="1"/>
        <v>43221</v>
      </c>
      <c r="W29" s="153">
        <f>IFERROR(I$10*I29,'!'!$GJ$15)</f>
        <v>5453.8282617572731</v>
      </c>
      <c r="X29" s="153">
        <f>IFERROR(K$10*K29,'!'!$GJ$15)</f>
        <v>1183.7944896812626</v>
      </c>
      <c r="Y29" s="153">
        <f>IFERROR(M$10*M29,'!'!$GJ$15)</f>
        <v>865.83922878479007</v>
      </c>
      <c r="Z29" s="153" t="str">
        <f>IFERROR(O$10*O30,'!'!$GJ$15)</f>
        <v>N</v>
      </c>
    </row>
    <row r="30" spans="1:26" x14ac:dyDescent="0.35">
      <c r="A30" s="4">
        <f t="shared" si="0"/>
        <v>6</v>
      </c>
      <c r="B30" s="286">
        <f>IFERROR(IF(Report!$D$4='!'!$HE$4,VLOOKUP(A30,Reference!$B$25:$H$390,2,FALSE),VLOOKUP(A30,Monitoring!$B$25:$H$390,2,FALSE)),'!'!$GJ$15)</f>
        <v>43252</v>
      </c>
      <c r="C30" s="58" t="str">
        <f>Reference!A30</f>
        <v/>
      </c>
      <c r="D30" s="287">
        <f>IFERROR(IF(Report!$D$4='!'!$HE$4,VLOOKUP(A30,Reference!$B$25:$H$390,3,FALSE),VLOOKUP(A30,Monitoring!$B$25:$H$390,3,FALSE)),'!'!$GJ$15)</f>
        <v>8786</v>
      </c>
      <c r="E30" s="284"/>
      <c r="F30" s="254"/>
      <c r="G30" s="151">
        <f>IF(D30='!'!$GJ$15,'!'!$GJ$15,(SUM(W30,X30,Y30,Z29,Q30)))</f>
        <v>9196.0505714190294</v>
      </c>
      <c r="H30" s="52"/>
      <c r="I30" s="299">
        <f>IF($I$12="","",IFERROR(IF(Report!$D$4='!'!$HE$4,VLOOKUP(A30,Reference!$B$25:$H$390,4,FALSE),VLOOKUP(A30,Monitoring!$B$25:$H$390,4,FALSE)),""))</f>
        <v>182</v>
      </c>
      <c r="J30" s="256"/>
      <c r="K30" s="299">
        <f>IF($K$12="","",IFERROR(IF(Report!$D$4='!'!$HE$4,VLOOKUP(A30,Reference!$B$25:$H$390,5,FALSE),VLOOKUP(A30,Monitoring!$B$25:$H$390,5,FALSE)),""))</f>
        <v>103.46956521739131</v>
      </c>
      <c r="L30" s="256"/>
      <c r="M30" s="299">
        <f>IF($M$12="","",IFERROR(IF(Report!$D$4='!'!$HE$4,VLOOKUP(A30,Reference!$B$25:$H$390,6,FALSE),VLOOKUP(A30,Monitoring!$B$25:$H$390,6,FALSE)),""))</f>
        <v>75</v>
      </c>
      <c r="N30" s="256"/>
      <c r="O30" s="299" t="str">
        <f>IF($O$12="","",IFERROR(IF(Report!$D$4='!'!$HE$4,VLOOKUP(A30,Reference!$B$25:$H$390,7,FALSE),VLOOKUP(A30,Monitoring!$B$25:$H$390,7,FALSE)),""))</f>
        <v/>
      </c>
      <c r="P30" s="52"/>
      <c r="Q30" s="151">
        <f>IF(B30='!'!$GJ$15,'!'!$GJ$15,$Q$12)</f>
        <v>626.18362874044828</v>
      </c>
      <c r="S30" s="4">
        <f>IFERROR(ABS(T30),'!'!$GJ$15)</f>
        <v>410.05057141902944</v>
      </c>
      <c r="T30" s="84">
        <f>IFERROR(+G30-D30,'!'!$GJ$15)</f>
        <v>410.05057141902944</v>
      </c>
      <c r="U30" s="64">
        <f t="shared" si="1"/>
        <v>43252</v>
      </c>
      <c r="W30" s="153">
        <f>IFERROR(I$10*I30,'!'!$GJ$15)</f>
        <v>6530.2417344725245</v>
      </c>
      <c r="X30" s="153">
        <f>IFERROR(K$10*K30,'!'!$GJ$15)</f>
        <v>596.5598268980749</v>
      </c>
      <c r="Y30" s="153">
        <f>IFERROR(M$10*M30,'!'!$GJ$15)</f>
        <v>1443.0653813079834</v>
      </c>
      <c r="Z30" s="153" t="str">
        <f>IFERROR(O$10*O31,'!'!$GJ$15)</f>
        <v>N</v>
      </c>
    </row>
    <row r="31" spans="1:26" x14ac:dyDescent="0.35">
      <c r="A31" s="4">
        <f t="shared" si="0"/>
        <v>7</v>
      </c>
      <c r="B31" s="286">
        <f>IFERROR(IF(Report!$D$4='!'!$HE$4,VLOOKUP(A31,Reference!$B$25:$H$390,2,FALSE),VLOOKUP(A31,Monitoring!$B$25:$H$390,2,FALSE)),'!'!$GJ$15)</f>
        <v>43282</v>
      </c>
      <c r="C31" s="58" t="str">
        <f>Reference!A31</f>
        <v/>
      </c>
      <c r="D31" s="287">
        <f>IFERROR(IF(Report!$D$4='!'!$HE$4,VLOOKUP(A31,Reference!$B$25:$H$390,3,FALSE),VLOOKUP(A31,Monitoring!$B$25:$H$390,3,FALSE)),'!'!$GJ$15)</f>
        <v>6300</v>
      </c>
      <c r="E31" s="284"/>
      <c r="F31" s="254"/>
      <c r="G31" s="151">
        <f>IF(D31='!'!$GJ$15,'!'!$GJ$15,(SUM(W31,X31,Y31,Z30,Q31)))</f>
        <v>6581.1272828095607</v>
      </c>
      <c r="H31" s="52"/>
      <c r="I31" s="299">
        <f>IF($I$12="","",IFERROR(IF(Report!$D$4='!'!$HE$4,VLOOKUP(A31,Reference!$B$25:$H$390,4,FALSE),VLOOKUP(A31,Monitoring!$B$25:$H$390,4,FALSE)),""))</f>
        <v>151</v>
      </c>
      <c r="J31" s="256"/>
      <c r="K31" s="299">
        <f>IF($K$12="","",IFERROR(IF(Report!$D$4='!'!$HE$4,VLOOKUP(A31,Reference!$B$25:$H$390,5,FALSE),VLOOKUP(A31,Monitoring!$B$25:$H$390,5,FALSE)),""))</f>
        <v>43.080434782608691</v>
      </c>
      <c r="L31" s="256"/>
      <c r="M31" s="299">
        <f>IF($M$12="","",IFERROR(IF(Report!$D$4='!'!$HE$4,VLOOKUP(A31,Reference!$B$25:$H$390,6,FALSE),VLOOKUP(A31,Monitoring!$B$25:$H$390,6,FALSE)),""))</f>
        <v>15</v>
      </c>
      <c r="N31" s="256"/>
      <c r="O31" s="299" t="str">
        <f>IF($O$12="","",IFERROR(IF(Report!$D$4='!'!$HE$4,VLOOKUP(A31,Reference!$B$25:$H$390,7,FALSE),VLOOKUP(A31,Monitoring!$B$25:$H$390,7,FALSE)),""))</f>
        <v/>
      </c>
      <c r="P31" s="52"/>
      <c r="Q31" s="151">
        <f>IF(B31='!'!$GJ$15,'!'!$GJ$15,$Q$12)</f>
        <v>626.18362874044828</v>
      </c>
      <c r="S31" s="4">
        <f>IFERROR(ABS(T31),'!'!$GJ$15)</f>
        <v>281.12728280956071</v>
      </c>
      <c r="T31" s="84">
        <f>IFERROR(+G31-D31,'!'!$GJ$15)</f>
        <v>281.12728280956071</v>
      </c>
      <c r="U31" s="64">
        <f t="shared" si="1"/>
        <v>43282</v>
      </c>
      <c r="W31" s="153">
        <f>IFERROR(I$10*I31,'!'!$GJ$15)</f>
        <v>5417.9478126667655</v>
      </c>
      <c r="X31" s="153">
        <f>IFERROR(K$10*K31,'!'!$GJ$15)</f>
        <v>248.38276514075025</v>
      </c>
      <c r="Y31" s="153">
        <f>IFERROR(M$10*M31,'!'!$GJ$15)</f>
        <v>288.61307626159669</v>
      </c>
      <c r="Z31" s="153" t="str">
        <f>IFERROR(O$10*O32,'!'!$GJ$15)</f>
        <v>N</v>
      </c>
    </row>
    <row r="32" spans="1:26" x14ac:dyDescent="0.35">
      <c r="A32" s="4">
        <f t="shared" si="0"/>
        <v>8</v>
      </c>
      <c r="B32" s="286">
        <f>IFERROR(IF(Report!$D$4='!'!$HE$4,VLOOKUP(A32,Reference!$B$25:$H$390,2,FALSE),VLOOKUP(A32,Monitoring!$B$25:$H$390,2,FALSE)),'!'!$GJ$15)</f>
        <v>43313</v>
      </c>
      <c r="C32" s="58" t="str">
        <f>Reference!A32</f>
        <v/>
      </c>
      <c r="D32" s="287">
        <f>IFERROR(IF(Report!$D$4='!'!$HE$4,VLOOKUP(A32,Reference!$B$25:$H$390,3,FALSE),VLOOKUP(A32,Monitoring!$B$25:$H$390,3,FALSE)),'!'!$GJ$15)</f>
        <v>6743</v>
      </c>
      <c r="E32" s="284"/>
      <c r="F32" s="254"/>
      <c r="G32" s="151">
        <f>IF(D32='!'!$GJ$15,'!'!$GJ$15,(SUM(W32,X32,Y32,Z31,Q32)))</f>
        <v>7014.2425493021728</v>
      </c>
      <c r="H32" s="52"/>
      <c r="I32" s="299">
        <f>IF($I$12="","",IFERROR(IF(Report!$D$4='!'!$HE$4,VLOOKUP(A32,Reference!$B$25:$H$390,4,FALSE),VLOOKUP(A32,Monitoring!$B$25:$H$390,4,FALSE)),""))</f>
        <v>147</v>
      </c>
      <c r="J32" s="256"/>
      <c r="K32" s="299">
        <f>IF($K$12="","",IFERROR(IF(Report!$D$4='!'!$HE$4,VLOOKUP(A32,Reference!$B$25:$H$390,5,FALSE),VLOOKUP(A32,Monitoring!$B$25:$H$390,5,FALSE)),""))</f>
        <v>42.978260869565219</v>
      </c>
      <c r="L32" s="256"/>
      <c r="M32" s="299">
        <f>IF($M$12="","",IFERROR(IF(Report!$D$4='!'!$HE$4,VLOOKUP(A32,Reference!$B$25:$H$390,6,FALSE),VLOOKUP(A32,Monitoring!$B$25:$H$390,6,FALSE)),""))</f>
        <v>45</v>
      </c>
      <c r="N32" s="256"/>
      <c r="O32" s="299" t="str">
        <f>IF($O$12="","",IFERROR(IF(Report!$D$4='!'!$HE$4,VLOOKUP(A32,Reference!$B$25:$H$390,7,FALSE),VLOOKUP(A32,Monitoring!$B$25:$H$390,7,FALSE)),""))</f>
        <v/>
      </c>
      <c r="P32" s="52"/>
      <c r="Q32" s="151">
        <f>IF(B32='!'!$GJ$15,'!'!$GJ$15,$Q$12)</f>
        <v>626.18362874044828</v>
      </c>
      <c r="S32" s="4">
        <f>IFERROR(ABS(T32),'!'!$GJ$15)</f>
        <v>271.24254930217285</v>
      </c>
      <c r="T32" s="84">
        <f>IFERROR(+G32-D32,'!'!$GJ$15)</f>
        <v>271.24254930217285</v>
      </c>
      <c r="U32" s="64">
        <f t="shared" si="1"/>
        <v>43313</v>
      </c>
      <c r="W32" s="153">
        <f>IFERROR(I$10*I32,'!'!$GJ$15)</f>
        <v>5274.426016304732</v>
      </c>
      <c r="X32" s="153">
        <f>IFERROR(K$10*K32,'!'!$GJ$15)</f>
        <v>247.7936754722023</v>
      </c>
      <c r="Y32" s="153">
        <f>IFERROR(M$10*M32,'!'!$GJ$15)</f>
        <v>865.83922878479007</v>
      </c>
      <c r="Z32" s="153" t="str">
        <f>IFERROR(O$10*O33,'!'!$GJ$15)</f>
        <v>N</v>
      </c>
    </row>
    <row r="33" spans="1:26" x14ac:dyDescent="0.35">
      <c r="A33" s="4">
        <f t="shared" si="0"/>
        <v>9</v>
      </c>
      <c r="B33" s="286">
        <f>IFERROR(IF(Report!$D$4='!'!$HE$4,VLOOKUP(A33,Reference!$B$25:$H$390,2,FALSE),VLOOKUP(A33,Monitoring!$B$25:$H$390,2,FALSE)),'!'!$GJ$15)</f>
        <v>43344</v>
      </c>
      <c r="C33" s="58" t="str">
        <f>Reference!A33</f>
        <v/>
      </c>
      <c r="D33" s="287">
        <f>IFERROR(IF(Report!$D$4='!'!$HE$4,VLOOKUP(A33,Reference!$B$25:$H$390,3,FALSE),VLOOKUP(A33,Monitoring!$B$25:$H$390,3,FALSE)),'!'!$GJ$15)</f>
        <v>9660</v>
      </c>
      <c r="E33" s="284"/>
      <c r="F33" s="254"/>
      <c r="G33" s="151">
        <f>IF(D33='!'!$GJ$15,'!'!$GJ$15,(SUM(W33,X33,Y33,Z32,Q33)))</f>
        <v>10108.797761768597</v>
      </c>
      <c r="H33" s="52"/>
      <c r="I33" s="299">
        <f>IF($I$12="","",IFERROR(IF(Report!$D$4='!'!$HE$4,VLOOKUP(A33,Reference!$B$25:$H$390,4,FALSE),VLOOKUP(A33,Monitoring!$B$25:$H$390,4,FALSE)),""))</f>
        <v>199</v>
      </c>
      <c r="J33" s="256"/>
      <c r="K33" s="299">
        <f>IF($K$12="","",IFERROR(IF(Report!$D$4='!'!$HE$4,VLOOKUP(A33,Reference!$B$25:$H$390,5,FALSE),VLOOKUP(A33,Monitoring!$B$25:$H$390,5,FALSE)),""))</f>
        <v>155.98478260869564</v>
      </c>
      <c r="L33" s="256"/>
      <c r="M33" s="299">
        <f>IF($M$12="","",IFERROR(IF(Report!$D$4='!'!$HE$4,VLOOKUP(A33,Reference!$B$25:$H$390,6,FALSE),VLOOKUP(A33,Monitoring!$B$25:$H$390,6,FALSE)),""))</f>
        <v>75</v>
      </c>
      <c r="N33" s="256"/>
      <c r="O33" s="299" t="str">
        <f>IF($O$12="","",IFERROR(IF(Report!$D$4='!'!$HE$4,VLOOKUP(A33,Reference!$B$25:$H$390,7,FALSE),VLOOKUP(A33,Monitoring!$B$25:$H$390,7,FALSE)),""))</f>
        <v/>
      </c>
      <c r="P33" s="52"/>
      <c r="Q33" s="151">
        <f>IF(B33='!'!$GJ$15,'!'!$GJ$15,$Q$12)</f>
        <v>626.18362874044828</v>
      </c>
      <c r="S33" s="4">
        <f>IFERROR(ABS(T33),'!'!$GJ$15)</f>
        <v>448.79776176859741</v>
      </c>
      <c r="T33" s="84">
        <f>IFERROR(+G33-D33,'!'!$GJ$15)</f>
        <v>448.79776176859741</v>
      </c>
      <c r="U33" s="64">
        <f t="shared" si="1"/>
        <v>43344</v>
      </c>
      <c r="W33" s="153">
        <f>IFERROR(I$10*I33,'!'!$GJ$15)</f>
        <v>7140.2093690111669</v>
      </c>
      <c r="X33" s="153">
        <f>IFERROR(K$10*K33,'!'!$GJ$15)</f>
        <v>899.33938270900001</v>
      </c>
      <c r="Y33" s="153">
        <f>IFERROR(M$10*M33,'!'!$GJ$15)</f>
        <v>1443.0653813079834</v>
      </c>
      <c r="Z33" s="153" t="str">
        <f>IFERROR(O$10*O34,'!'!$GJ$15)</f>
        <v>N</v>
      </c>
    </row>
    <row r="34" spans="1:26" x14ac:dyDescent="0.35">
      <c r="A34" s="4">
        <f t="shared" si="0"/>
        <v>10</v>
      </c>
      <c r="B34" s="286">
        <f>IFERROR(IF(Report!$D$4='!'!$HE$4,VLOOKUP(A34,Reference!$B$25:$H$390,2,FALSE),VLOOKUP(A34,Monitoring!$B$25:$H$390,2,FALSE)),'!'!$GJ$15)</f>
        <v>43374</v>
      </c>
      <c r="C34" s="58" t="str">
        <f>Reference!A34</f>
        <v/>
      </c>
      <c r="D34" s="287">
        <f>IFERROR(IF(Report!$D$4='!'!$HE$4,VLOOKUP(A34,Reference!$B$25:$H$390,3,FALSE),VLOOKUP(A34,Monitoring!$B$25:$H$390,3,FALSE)),'!'!$GJ$15)</f>
        <v>7664</v>
      </c>
      <c r="E34" s="284"/>
      <c r="F34" s="254"/>
      <c r="G34" s="151">
        <f>IF(D34='!'!$GJ$15,'!'!$GJ$15,(SUM(W34,X34,Y34,Z33,Q34)))</f>
        <v>8245.0933990939011</v>
      </c>
      <c r="H34" s="52"/>
      <c r="I34" s="299">
        <f>IF($I$12="","",IFERROR(IF(Report!$D$4='!'!$HE$4,VLOOKUP(A34,Reference!$B$25:$H$390,4,FALSE),VLOOKUP(A34,Monitoring!$B$25:$H$390,4,FALSE)),""))</f>
        <v>154</v>
      </c>
      <c r="J34" s="256"/>
      <c r="K34" s="299">
        <f>IF($K$12="","",IFERROR(IF(Report!$D$4='!'!$HE$4,VLOOKUP(A34,Reference!$B$25:$H$390,5,FALSE),VLOOKUP(A34,Monitoring!$B$25:$H$390,5,FALSE)),""))</f>
        <v>313.0152173913043</v>
      </c>
      <c r="L34" s="256"/>
      <c r="M34" s="299">
        <f>IF($M$12="","",IFERROR(IF(Report!$D$4='!'!$HE$4,VLOOKUP(A34,Reference!$B$25:$H$390,6,FALSE),VLOOKUP(A34,Monitoring!$B$25:$H$390,6,FALSE)),""))</f>
        <v>15</v>
      </c>
      <c r="N34" s="256"/>
      <c r="O34" s="299" t="str">
        <f>IF($O$12="","",IFERROR(IF(Report!$D$4='!'!$HE$4,VLOOKUP(A34,Reference!$B$25:$H$390,7,FALSE),VLOOKUP(A34,Monitoring!$B$25:$H$390,7,FALSE)),""))</f>
        <v/>
      </c>
      <c r="P34" s="52"/>
      <c r="Q34" s="151">
        <f>IF(B34='!'!$GJ$15,'!'!$GJ$15,$Q$12)</f>
        <v>626.18362874044828</v>
      </c>
      <c r="S34" s="4">
        <f>IFERROR(ABS(T34),'!'!$GJ$15)</f>
        <v>581.0933990939011</v>
      </c>
      <c r="T34" s="84">
        <f>IFERROR(+G34-D34,'!'!$GJ$15)</f>
        <v>581.0933990939011</v>
      </c>
      <c r="U34" s="64">
        <f t="shared" si="1"/>
        <v>43374</v>
      </c>
      <c r="W34" s="153">
        <f>IFERROR(I$10*I34,'!'!$GJ$15)</f>
        <v>5525.5891599382903</v>
      </c>
      <c r="X34" s="153">
        <f>IFERROR(K$10*K34,'!'!$GJ$15)</f>
        <v>1804.7075341535653</v>
      </c>
      <c r="Y34" s="153">
        <f>IFERROR(M$10*M34,'!'!$GJ$15)</f>
        <v>288.61307626159669</v>
      </c>
      <c r="Z34" s="153" t="str">
        <f>IFERROR(O$10*O35,'!'!$GJ$15)</f>
        <v>N</v>
      </c>
    </row>
    <row r="35" spans="1:26" x14ac:dyDescent="0.35">
      <c r="A35" s="4">
        <f t="shared" si="0"/>
        <v>11</v>
      </c>
      <c r="B35" s="286">
        <f>IFERROR(IF(Report!$D$4='!'!$HE$4,VLOOKUP(A35,Reference!$B$25:$H$390,2,FALSE),VLOOKUP(A35,Monitoring!$B$25:$H$390,2,FALSE)),'!'!$GJ$15)</f>
        <v>43405</v>
      </c>
      <c r="C35" s="58" t="str">
        <f>Reference!A35</f>
        <v/>
      </c>
      <c r="D35" s="287">
        <f>IFERROR(IF(Report!$D$4='!'!$HE$4,VLOOKUP(A35,Reference!$B$25:$H$390,3,FALSE),VLOOKUP(A35,Monitoring!$B$25:$H$390,3,FALSE)),'!'!$GJ$15)</f>
        <v>9217</v>
      </c>
      <c r="E35" s="284"/>
      <c r="F35" s="254"/>
      <c r="G35" s="151">
        <f>IF(D35='!'!$GJ$15,'!'!$GJ$15,(SUM(W35,X35,Y35,Z34,Q35)))</f>
        <v>10819.544600632111</v>
      </c>
      <c r="H35" s="52"/>
      <c r="I35" s="299">
        <f>IF($I$12="","",IFERROR(IF(Report!$D$4='!'!$HE$4,VLOOKUP(A35,Reference!$B$25:$H$390,4,FALSE),VLOOKUP(A35,Monitoring!$B$25:$H$390,4,FALSE)),""))</f>
        <v>190</v>
      </c>
      <c r="J35" s="256"/>
      <c r="K35" s="299">
        <f>IF($K$12="","",IFERROR(IF(Report!$D$4='!'!$HE$4,VLOOKUP(A35,Reference!$B$25:$H$390,5,FALSE),VLOOKUP(A35,Monitoring!$B$25:$H$390,5,FALSE)),""))</f>
        <v>435.38478260869567</v>
      </c>
      <c r="L35" s="256"/>
      <c r="M35" s="299">
        <f>IF($M$12="","",IFERROR(IF(Report!$D$4='!'!$HE$4,VLOOKUP(A35,Reference!$B$25:$H$390,6,FALSE),VLOOKUP(A35,Monitoring!$B$25:$H$390,6,FALSE)),""))</f>
        <v>45</v>
      </c>
      <c r="N35" s="256"/>
      <c r="O35" s="299" t="str">
        <f>IF($O$12="","",IFERROR(IF(Report!$D$4='!'!$HE$4,VLOOKUP(A35,Reference!$B$25:$H$390,7,FALSE),VLOOKUP(A35,Monitoring!$B$25:$H$390,7,FALSE)),""))</f>
        <v/>
      </c>
      <c r="P35" s="52"/>
      <c r="Q35" s="151">
        <f>IF(B35='!'!$GJ$15,'!'!$GJ$15,$Q$12)</f>
        <v>626.18362874044828</v>
      </c>
      <c r="S35" s="4">
        <f>IFERROR(ABS(T35),'!'!$GJ$15)</f>
        <v>1602.5446006321108</v>
      </c>
      <c r="T35" s="84">
        <f>IFERROR(+G35-D35,'!'!$GJ$15)</f>
        <v>1602.5446006321108</v>
      </c>
      <c r="U35" s="64">
        <f t="shared" si="1"/>
        <v>43405</v>
      </c>
      <c r="W35" s="153">
        <f>IFERROR(I$10*I35,'!'!$GJ$15)</f>
        <v>6817.2853271965914</v>
      </c>
      <c r="X35" s="153">
        <f>IFERROR(K$10*K35,'!'!$GJ$15)</f>
        <v>2510.2364159102813</v>
      </c>
      <c r="Y35" s="153">
        <f>IFERROR(M$10*M35,'!'!$GJ$15)</f>
        <v>865.83922878479007</v>
      </c>
      <c r="Z35" s="153" t="str">
        <f>IFERROR(O$10*O36,'!'!$GJ$15)</f>
        <v>N</v>
      </c>
    </row>
    <row r="36" spans="1:26" x14ac:dyDescent="0.35">
      <c r="A36" s="4">
        <f t="shared" si="0"/>
        <v>12</v>
      </c>
      <c r="B36" s="286">
        <f>IFERROR(IF(Report!$D$4='!'!$HE$4,VLOOKUP(A36,Reference!$B$25:$H$390,2,FALSE),VLOOKUP(A36,Monitoring!$B$25:$H$390,2,FALSE)),'!'!$GJ$15)</f>
        <v>43435</v>
      </c>
      <c r="C36" s="58" t="str">
        <f>Reference!A36</f>
        <v/>
      </c>
      <c r="D36" s="287">
        <f>IFERROR(IF(Report!$D$4='!'!$HE$4,VLOOKUP(A36,Reference!$B$25:$H$390,3,FALSE),VLOOKUP(A36,Monitoring!$B$25:$H$390,3,FALSE)),'!'!$GJ$15)</f>
        <v>10168</v>
      </c>
      <c r="E36" s="284"/>
      <c r="F36" s="254"/>
      <c r="G36" s="151">
        <f>IF(D36='!'!$GJ$15,'!'!$GJ$15,(SUM(W36,X36,Y36,Z35,Q36)))</f>
        <v>11811.058089194506</v>
      </c>
      <c r="H36" s="52"/>
      <c r="I36" s="299">
        <f>IF($I$12="","",IFERROR(IF(Report!$D$4='!'!$HE$4,VLOOKUP(A36,Reference!$B$25:$H$390,4,FALSE),VLOOKUP(A36,Monitoring!$B$25:$H$390,4,FALSE)),""))</f>
        <v>185</v>
      </c>
      <c r="J36" s="256"/>
      <c r="K36" s="299">
        <f>IF($K$12="","",IFERROR(IF(Report!$D$4='!'!$HE$4,VLOOKUP(A36,Reference!$B$25:$H$390,5,FALSE),VLOOKUP(A36,Monitoring!$B$25:$H$390,5,FALSE)),""))</f>
        <v>538.35652173913047</v>
      </c>
      <c r="L36" s="256"/>
      <c r="M36" s="299">
        <f>IF($M$12="","",IFERROR(IF(Report!$D$4='!'!$HE$4,VLOOKUP(A36,Reference!$B$25:$H$390,6,FALSE),VLOOKUP(A36,Monitoring!$B$25:$H$390,6,FALSE)),""))</f>
        <v>75</v>
      </c>
      <c r="N36" s="256"/>
      <c r="O36" s="299" t="str">
        <f>IF($O$12="","",IFERROR(IF(Report!$D$4='!'!$HE$4,VLOOKUP(A36,Reference!$B$25:$H$390,7,FALSE),VLOOKUP(A36,Monitoring!$B$25:$H$390,7,FALSE)),""))</f>
        <v/>
      </c>
      <c r="P36" s="52"/>
      <c r="Q36" s="151">
        <f>IF(B36='!'!$GJ$15,'!'!$GJ$15,$Q$12)</f>
        <v>626.18362874044828</v>
      </c>
      <c r="S36" s="4">
        <f>IFERROR(ABS(T36),'!'!$GJ$15)</f>
        <v>1643.0580891945065</v>
      </c>
      <c r="T36" s="84">
        <f>IFERROR(+G36-D36,'!'!$GJ$15)</f>
        <v>1643.0580891945065</v>
      </c>
      <c r="U36" s="64">
        <f t="shared" si="1"/>
        <v>43435</v>
      </c>
      <c r="W36" s="153">
        <f>IFERROR(I$10*I36,'!'!$GJ$15)</f>
        <v>6637.8830817440503</v>
      </c>
      <c r="X36" s="153">
        <f>IFERROR(K$10*K36,'!'!$GJ$15)</f>
        <v>3103.9259974020265</v>
      </c>
      <c r="Y36" s="153">
        <f>IFERROR(M$10*M36,'!'!$GJ$15)</f>
        <v>1443.0653813079834</v>
      </c>
      <c r="Z36" s="153" t="str">
        <f>IFERROR(O$10*O37,'!'!$GJ$15)</f>
        <v>N</v>
      </c>
    </row>
    <row r="37" spans="1:26" x14ac:dyDescent="0.35">
      <c r="A37" s="4">
        <f t="shared" si="0"/>
        <v>13</v>
      </c>
      <c r="B37" s="286" t="str">
        <f>IFERROR(IF(Report!$D$4='!'!$HE$4,VLOOKUP(A37,Reference!$B$25:$H$390,2,FALSE),VLOOKUP(A37,Monitoring!$B$25:$H$390,2,FALSE)),'!'!$GJ$15)</f>
        <v>N</v>
      </c>
      <c r="C37" s="58" t="str">
        <f>Reference!A37</f>
        <v/>
      </c>
      <c r="D37" s="287" t="str">
        <f>IFERROR(IF(Report!$D$4='!'!$HE$4,VLOOKUP(A37,Reference!$B$25:$H$390,3,FALSE),VLOOKUP(A37,Monitoring!$B$25:$H$390,3,FALSE)),'!'!$GJ$15)</f>
        <v>N</v>
      </c>
      <c r="E37" s="284"/>
      <c r="F37" s="254"/>
      <c r="G37" s="151" t="str">
        <f>IF(D37='!'!$GJ$15,'!'!$GJ$15,(SUM(W37,X37,Y37,Z36,Q37)))</f>
        <v>N</v>
      </c>
      <c r="H37" s="52"/>
      <c r="I37" s="299" t="str">
        <f>IF($I$12="","",IFERROR(IF(Report!$D$4='!'!$HE$4,VLOOKUP(A37,Reference!$B$25:$H$390,4,FALSE),VLOOKUP(A37,Monitoring!$B$25:$H$390,4,FALSE)),""))</f>
        <v/>
      </c>
      <c r="J37" s="256"/>
      <c r="K37" s="299" t="str">
        <f>IF($K$12="","",IFERROR(IF(Report!$D$4='!'!$HE$4,VLOOKUP(A37,Reference!$B$25:$H$390,5,FALSE),VLOOKUP(A37,Monitoring!$B$25:$H$390,5,FALSE)),""))</f>
        <v/>
      </c>
      <c r="L37" s="256"/>
      <c r="M37" s="299" t="str">
        <f>IF($M$12="","",IFERROR(IF(Report!$D$4='!'!$HE$4,VLOOKUP(A37,Reference!$B$25:$H$390,6,FALSE),VLOOKUP(A37,Monitoring!$B$25:$H$390,6,FALSE)),""))</f>
        <v/>
      </c>
      <c r="N37" s="256"/>
      <c r="O37" s="299" t="str">
        <f>IF($O$12="","",IFERROR(IF(Report!$D$4='!'!$HE$4,VLOOKUP(A37,Reference!$B$25:$H$390,7,FALSE),VLOOKUP(A37,Monitoring!$B$25:$H$390,7,FALSE)),""))</f>
        <v/>
      </c>
      <c r="P37" s="52"/>
      <c r="Q37" s="151" t="str">
        <f>IF(B37='!'!$GJ$15,'!'!$GJ$15,$Q$12)</f>
        <v>N</v>
      </c>
      <c r="S37" s="4" t="str">
        <f>IFERROR(ABS(T37),'!'!$GJ$15)</f>
        <v>N</v>
      </c>
      <c r="T37" s="84" t="str">
        <f>IFERROR(+G37-D37,'!'!$GJ$15)</f>
        <v>N</v>
      </c>
      <c r="U37" s="64" t="str">
        <f t="shared" si="1"/>
        <v>N</v>
      </c>
      <c r="W37" s="153" t="str">
        <f>IFERROR(I$10*I37,'!'!$GJ$15)</f>
        <v>N</v>
      </c>
      <c r="X37" s="153" t="str">
        <f>IFERROR(K$10*K37,'!'!$GJ$15)</f>
        <v>N</v>
      </c>
      <c r="Y37" s="153" t="str">
        <f>IFERROR(M$10*M37,'!'!$GJ$15)</f>
        <v>N</v>
      </c>
      <c r="Z37" s="153" t="str">
        <f>IFERROR(O$10*O38,'!'!$GJ$15)</f>
        <v>N</v>
      </c>
    </row>
    <row r="38" spans="1:26" x14ac:dyDescent="0.35">
      <c r="A38" s="4">
        <f t="shared" si="0"/>
        <v>14</v>
      </c>
      <c r="B38" s="286" t="str">
        <f>IFERROR(IF(Report!$D$4='!'!$HE$4,VLOOKUP(A38,Reference!$B$25:$H$390,2,FALSE),VLOOKUP(A38,Monitoring!$B$25:$H$390,2,FALSE)),'!'!$GJ$15)</f>
        <v>N</v>
      </c>
      <c r="C38" s="58" t="str">
        <f>Reference!A38</f>
        <v/>
      </c>
      <c r="D38" s="287" t="str">
        <f>IFERROR(IF(Report!$D$4='!'!$HE$4,VLOOKUP(A38,Reference!$B$25:$H$390,3,FALSE),VLOOKUP(A38,Monitoring!$B$25:$H$390,3,FALSE)),'!'!$GJ$15)</f>
        <v>N</v>
      </c>
      <c r="E38" s="284"/>
      <c r="F38" s="254"/>
      <c r="G38" s="151" t="str">
        <f>IF(D38='!'!$GJ$15,'!'!$GJ$15,(SUM(W38,X38,Y38,Z37,Q38)))</f>
        <v>N</v>
      </c>
      <c r="H38" s="52"/>
      <c r="I38" s="299" t="str">
        <f>IF($I$12="","",IFERROR(IF(Report!$D$4='!'!$HE$4,VLOOKUP(A38,Reference!$B$25:$H$390,4,FALSE),VLOOKUP(A38,Monitoring!$B$25:$H$390,4,FALSE)),""))</f>
        <v/>
      </c>
      <c r="J38" s="256"/>
      <c r="K38" s="299" t="str">
        <f>IF($K$12="","",IFERROR(IF(Report!$D$4='!'!$HE$4,VLOOKUP(A38,Reference!$B$25:$H$390,5,FALSE),VLOOKUP(A38,Monitoring!$B$25:$H$390,5,FALSE)),""))</f>
        <v/>
      </c>
      <c r="L38" s="256"/>
      <c r="M38" s="299" t="str">
        <f>IF($M$12="","",IFERROR(IF(Report!$D$4='!'!$HE$4,VLOOKUP(A38,Reference!$B$25:$H$390,6,FALSE),VLOOKUP(A38,Monitoring!$B$25:$H$390,6,FALSE)),""))</f>
        <v/>
      </c>
      <c r="N38" s="256"/>
      <c r="O38" s="299" t="str">
        <f>IF($O$12="","",IFERROR(IF(Report!$D$4='!'!$HE$4,VLOOKUP(A38,Reference!$B$25:$H$390,7,FALSE),VLOOKUP(A38,Monitoring!$B$25:$H$390,7,FALSE)),""))</f>
        <v/>
      </c>
      <c r="P38" s="52"/>
      <c r="Q38" s="151" t="str">
        <f>IF(B38='!'!$GJ$15,'!'!$GJ$15,$Q$12)</f>
        <v>N</v>
      </c>
      <c r="S38" s="4" t="str">
        <f>IFERROR(ABS(T38),'!'!$GJ$15)</f>
        <v>N</v>
      </c>
      <c r="T38" s="84" t="str">
        <f>IFERROR(+G38-D38,'!'!$GJ$15)</f>
        <v>N</v>
      </c>
      <c r="U38" s="64" t="str">
        <f t="shared" si="1"/>
        <v>N</v>
      </c>
      <c r="W38" s="153" t="str">
        <f>IFERROR(I$10*I38,'!'!$GJ$15)</f>
        <v>N</v>
      </c>
      <c r="X38" s="153" t="str">
        <f>IFERROR(K$10*K38,'!'!$GJ$15)</f>
        <v>N</v>
      </c>
      <c r="Y38" s="153" t="str">
        <f>IFERROR(M$10*M38,'!'!$GJ$15)</f>
        <v>N</v>
      </c>
      <c r="Z38" s="153" t="str">
        <f>IFERROR(O$10*O39,'!'!$GJ$15)</f>
        <v>N</v>
      </c>
    </row>
    <row r="39" spans="1:26" x14ac:dyDescent="0.35">
      <c r="A39" s="4">
        <f t="shared" si="0"/>
        <v>15</v>
      </c>
      <c r="B39" s="286" t="str">
        <f>IFERROR(IF(Report!$D$4='!'!$HE$4,VLOOKUP(A39,Reference!$B$25:$H$390,2,FALSE),VLOOKUP(A39,Monitoring!$B$25:$H$390,2,FALSE)),'!'!$GJ$15)</f>
        <v>N</v>
      </c>
      <c r="C39" s="58" t="str">
        <f>Reference!A39</f>
        <v/>
      </c>
      <c r="D39" s="287" t="str">
        <f>IFERROR(IF(Report!$D$4='!'!$HE$4,VLOOKUP(A39,Reference!$B$25:$H$390,3,FALSE),VLOOKUP(A39,Monitoring!$B$25:$H$390,3,FALSE)),'!'!$GJ$15)</f>
        <v>N</v>
      </c>
      <c r="E39" s="284"/>
      <c r="F39" s="254"/>
      <c r="G39" s="151" t="str">
        <f>IF(D39='!'!$GJ$15,'!'!$GJ$15,(SUM(W39,X39,Y39,Z38,Q39)))</f>
        <v>N</v>
      </c>
      <c r="H39" s="52"/>
      <c r="I39" s="299" t="str">
        <f>IF($I$12="","",IFERROR(IF(Report!$D$4='!'!$HE$4,VLOOKUP(A39,Reference!$B$25:$H$390,4,FALSE),VLOOKUP(A39,Monitoring!$B$25:$H$390,4,FALSE)),""))</f>
        <v/>
      </c>
      <c r="J39" s="256"/>
      <c r="K39" s="299" t="str">
        <f>IF($K$12="","",IFERROR(IF(Report!$D$4='!'!$HE$4,VLOOKUP(A39,Reference!$B$25:$H$390,5,FALSE),VLOOKUP(A39,Monitoring!$B$25:$H$390,5,FALSE)),""))</f>
        <v/>
      </c>
      <c r="L39" s="256"/>
      <c r="M39" s="299" t="str">
        <f>IF($M$12="","",IFERROR(IF(Report!$D$4='!'!$HE$4,VLOOKUP(A39,Reference!$B$25:$H$390,6,FALSE),VLOOKUP(A39,Monitoring!$B$25:$H$390,6,FALSE)),""))</f>
        <v/>
      </c>
      <c r="N39" s="256"/>
      <c r="O39" s="299" t="str">
        <f>IF($O$12="","",IFERROR(IF(Report!$D$4='!'!$HE$4,VLOOKUP(A39,Reference!$B$25:$H$390,7,FALSE),VLOOKUP(A39,Monitoring!$B$25:$H$390,7,FALSE)),""))</f>
        <v/>
      </c>
      <c r="P39" s="52"/>
      <c r="Q39" s="151" t="str">
        <f>IF(B39='!'!$GJ$15,'!'!$GJ$15,$Q$12)</f>
        <v>N</v>
      </c>
      <c r="S39" s="4" t="str">
        <f>IFERROR(ABS(T39),'!'!$GJ$15)</f>
        <v>N</v>
      </c>
      <c r="T39" s="84" t="str">
        <f>IFERROR(+G39-D39,'!'!$GJ$15)</f>
        <v>N</v>
      </c>
      <c r="U39" s="64" t="str">
        <f t="shared" si="1"/>
        <v>N</v>
      </c>
      <c r="W39" s="153" t="str">
        <f>IFERROR(I$10*I39,'!'!$GJ$15)</f>
        <v>N</v>
      </c>
      <c r="X39" s="153" t="str">
        <f>IFERROR(K$10*K39,'!'!$GJ$15)</f>
        <v>N</v>
      </c>
      <c r="Y39" s="153" t="str">
        <f>IFERROR(M$10*M39,'!'!$GJ$15)</f>
        <v>N</v>
      </c>
      <c r="Z39" s="153" t="str">
        <f>IFERROR(O$10*O40,'!'!$GJ$15)</f>
        <v>N</v>
      </c>
    </row>
    <row r="40" spans="1:26" x14ac:dyDescent="0.35">
      <c r="A40" s="4">
        <f t="shared" si="0"/>
        <v>16</v>
      </c>
      <c r="B40" s="286" t="str">
        <f>IFERROR(IF(Report!$D$4='!'!$HE$4,VLOOKUP(A40,Reference!$B$25:$H$390,2,FALSE),VLOOKUP(A40,Monitoring!$B$25:$H$390,2,FALSE)),'!'!$GJ$15)</f>
        <v>N</v>
      </c>
      <c r="C40" s="58" t="str">
        <f>Reference!A40</f>
        <v/>
      </c>
      <c r="D40" s="287" t="str">
        <f>IFERROR(IF(Report!$D$4='!'!$HE$4,VLOOKUP(A40,Reference!$B$25:$H$390,3,FALSE),VLOOKUP(A40,Monitoring!$B$25:$H$390,3,FALSE)),'!'!$GJ$15)</f>
        <v>N</v>
      </c>
      <c r="E40" s="284"/>
      <c r="F40" s="254"/>
      <c r="G40" s="151" t="str">
        <f>IF(D40='!'!$GJ$15,'!'!$GJ$15,(SUM(W40,X40,Y40,Z39,Q40)))</f>
        <v>N</v>
      </c>
      <c r="H40" s="52"/>
      <c r="I40" s="299" t="str">
        <f>IF($I$12="","",IFERROR(IF(Report!$D$4='!'!$HE$4,VLOOKUP(A40,Reference!$B$25:$H$390,4,FALSE),VLOOKUP(A40,Monitoring!$B$25:$H$390,4,FALSE)),""))</f>
        <v/>
      </c>
      <c r="J40" s="256"/>
      <c r="K40" s="299" t="str">
        <f>IF($K$12="","",IFERROR(IF(Report!$D$4='!'!$HE$4,VLOOKUP(A40,Reference!$B$25:$H$390,5,FALSE),VLOOKUP(A40,Monitoring!$B$25:$H$390,5,FALSE)),""))</f>
        <v/>
      </c>
      <c r="L40" s="256"/>
      <c r="M40" s="299" t="str">
        <f>IF($M$12="","",IFERROR(IF(Report!$D$4='!'!$HE$4,VLOOKUP(A40,Reference!$B$25:$H$390,6,FALSE),VLOOKUP(A40,Monitoring!$B$25:$H$390,6,FALSE)),""))</f>
        <v/>
      </c>
      <c r="N40" s="256"/>
      <c r="O40" s="299" t="str">
        <f>IF($O$12="","",IFERROR(IF(Report!$D$4='!'!$HE$4,VLOOKUP(A40,Reference!$B$25:$H$390,7,FALSE),VLOOKUP(A40,Monitoring!$B$25:$H$390,7,FALSE)),""))</f>
        <v/>
      </c>
      <c r="P40" s="52"/>
      <c r="Q40" s="151" t="str">
        <f>IF(B40='!'!$GJ$15,'!'!$GJ$15,$Q$12)</f>
        <v>N</v>
      </c>
      <c r="S40" s="4" t="str">
        <f>IFERROR(ABS(T40),'!'!$GJ$15)</f>
        <v>N</v>
      </c>
      <c r="T40" s="84" t="str">
        <f>IFERROR(+G40-D40,'!'!$GJ$15)</f>
        <v>N</v>
      </c>
      <c r="U40" s="64" t="str">
        <f t="shared" si="1"/>
        <v>N</v>
      </c>
      <c r="W40" s="153" t="str">
        <f>IFERROR(I$10*I40,'!'!$GJ$15)</f>
        <v>N</v>
      </c>
      <c r="X40" s="153" t="str">
        <f>IFERROR(K$10*K40,'!'!$GJ$15)</f>
        <v>N</v>
      </c>
      <c r="Y40" s="153" t="str">
        <f>IFERROR(M$10*M40,'!'!$GJ$15)</f>
        <v>N</v>
      </c>
      <c r="Z40" s="153" t="str">
        <f>IFERROR(O$10*O41,'!'!$GJ$15)</f>
        <v>N</v>
      </c>
    </row>
    <row r="41" spans="1:26" x14ac:dyDescent="0.35">
      <c r="A41" s="4">
        <f t="shared" si="0"/>
        <v>17</v>
      </c>
      <c r="B41" s="286" t="str">
        <f>IFERROR(IF(Report!$D$4='!'!$HE$4,VLOOKUP(A41,Reference!$B$25:$H$390,2,FALSE),VLOOKUP(A41,Monitoring!$B$25:$H$390,2,FALSE)),'!'!$GJ$15)</f>
        <v>N</v>
      </c>
      <c r="C41" s="58" t="str">
        <f>Reference!A41</f>
        <v/>
      </c>
      <c r="D41" s="287" t="str">
        <f>IFERROR(IF(Report!$D$4='!'!$HE$4,VLOOKUP(A41,Reference!$B$25:$H$390,3,FALSE),VLOOKUP(A41,Monitoring!$B$25:$H$390,3,FALSE)),'!'!$GJ$15)</f>
        <v>N</v>
      </c>
      <c r="E41" s="284"/>
      <c r="F41" s="254"/>
      <c r="G41" s="151" t="str">
        <f>IF(D41='!'!$GJ$15,'!'!$GJ$15,(SUM(W41,X41,Y41,Z40,Q41)))</f>
        <v>N</v>
      </c>
      <c r="H41" s="52"/>
      <c r="I41" s="299" t="str">
        <f>IF($I$12="","",IFERROR(IF(Report!$D$4='!'!$HE$4,VLOOKUP(A41,Reference!$B$25:$H$390,4,FALSE),VLOOKUP(A41,Monitoring!$B$25:$H$390,4,FALSE)),""))</f>
        <v/>
      </c>
      <c r="J41" s="256"/>
      <c r="K41" s="299" t="str">
        <f>IF($K$12="","",IFERROR(IF(Report!$D$4='!'!$HE$4,VLOOKUP(A41,Reference!$B$25:$H$390,5,FALSE),VLOOKUP(A41,Monitoring!$B$25:$H$390,5,FALSE)),""))</f>
        <v/>
      </c>
      <c r="L41" s="256"/>
      <c r="M41" s="299" t="str">
        <f>IF($M$12="","",IFERROR(IF(Report!$D$4='!'!$HE$4,VLOOKUP(A41,Reference!$B$25:$H$390,6,FALSE),VLOOKUP(A41,Monitoring!$B$25:$H$390,6,FALSE)),""))</f>
        <v/>
      </c>
      <c r="N41" s="256"/>
      <c r="O41" s="299" t="str">
        <f>IF($O$12="","",IFERROR(IF(Report!$D$4='!'!$HE$4,VLOOKUP(A41,Reference!$B$25:$H$390,7,FALSE),VLOOKUP(A41,Monitoring!$B$25:$H$390,7,FALSE)),""))</f>
        <v/>
      </c>
      <c r="P41" s="52"/>
      <c r="Q41" s="151" t="str">
        <f>IF(B41='!'!$GJ$15,'!'!$GJ$15,$Q$12)</f>
        <v>N</v>
      </c>
      <c r="S41" s="4" t="str">
        <f>IFERROR(ABS(T41),'!'!$GJ$15)</f>
        <v>N</v>
      </c>
      <c r="T41" s="84" t="str">
        <f>IFERROR(+G41-D41,'!'!$GJ$15)</f>
        <v>N</v>
      </c>
      <c r="U41" s="64" t="str">
        <f t="shared" si="1"/>
        <v>N</v>
      </c>
      <c r="W41" s="153" t="str">
        <f>IFERROR(I$10*I41,'!'!$GJ$15)</f>
        <v>N</v>
      </c>
      <c r="X41" s="153" t="str">
        <f>IFERROR(K$10*K41,'!'!$GJ$15)</f>
        <v>N</v>
      </c>
      <c r="Y41" s="153" t="str">
        <f>IFERROR(M$10*M41,'!'!$GJ$15)</f>
        <v>N</v>
      </c>
      <c r="Z41" s="153" t="str">
        <f>IFERROR(O$10*O42,'!'!$GJ$15)</f>
        <v>N</v>
      </c>
    </row>
    <row r="42" spans="1:26" x14ac:dyDescent="0.35">
      <c r="A42" s="4">
        <f t="shared" si="0"/>
        <v>18</v>
      </c>
      <c r="B42" s="286" t="str">
        <f>IFERROR(IF(Report!$D$4='!'!$HE$4,VLOOKUP(A42,Reference!$B$25:$H$390,2,FALSE),VLOOKUP(A42,Monitoring!$B$25:$H$390,2,FALSE)),'!'!$GJ$15)</f>
        <v>N</v>
      </c>
      <c r="C42" s="58" t="str">
        <f>Reference!A42</f>
        <v/>
      </c>
      <c r="D42" s="287" t="str">
        <f>IFERROR(IF(Report!$D$4='!'!$HE$4,VLOOKUP(A42,Reference!$B$25:$H$390,3,FALSE),VLOOKUP(A42,Monitoring!$B$25:$H$390,3,FALSE)),'!'!$GJ$15)</f>
        <v>N</v>
      </c>
      <c r="E42" s="284"/>
      <c r="F42" s="254"/>
      <c r="G42" s="151" t="str">
        <f>IF(D42='!'!$GJ$15,'!'!$GJ$15,(SUM(W42,X42,Y42,Z41,Q42)))</f>
        <v>N</v>
      </c>
      <c r="H42" s="52"/>
      <c r="I42" s="299" t="str">
        <f>IF($I$12="","",IFERROR(IF(Report!$D$4='!'!$HE$4,VLOOKUP(A42,Reference!$B$25:$H$390,4,FALSE),VLOOKUP(A42,Monitoring!$B$25:$H$390,4,FALSE)),""))</f>
        <v/>
      </c>
      <c r="J42" s="256"/>
      <c r="K42" s="299" t="str">
        <f>IF($K$12="","",IFERROR(IF(Report!$D$4='!'!$HE$4,VLOOKUP(A42,Reference!$B$25:$H$390,5,FALSE),VLOOKUP(A42,Monitoring!$B$25:$H$390,5,FALSE)),""))</f>
        <v/>
      </c>
      <c r="L42" s="256"/>
      <c r="M42" s="299" t="str">
        <f>IF($M$12="","",IFERROR(IF(Report!$D$4='!'!$HE$4,VLOOKUP(A42,Reference!$B$25:$H$390,6,FALSE),VLOOKUP(A42,Monitoring!$B$25:$H$390,6,FALSE)),""))</f>
        <v/>
      </c>
      <c r="N42" s="256"/>
      <c r="O42" s="299" t="str">
        <f>IF($O$12="","",IFERROR(IF(Report!$D$4='!'!$HE$4,VLOOKUP(A42,Reference!$B$25:$H$390,7,FALSE),VLOOKUP(A42,Monitoring!$B$25:$H$390,7,FALSE)),""))</f>
        <v/>
      </c>
      <c r="P42" s="52"/>
      <c r="Q42" s="151" t="str">
        <f>IF(B42='!'!$GJ$15,'!'!$GJ$15,$Q$12)</f>
        <v>N</v>
      </c>
      <c r="S42" s="4" t="str">
        <f>IFERROR(ABS(T42),'!'!$GJ$15)</f>
        <v>N</v>
      </c>
      <c r="T42" s="84" t="str">
        <f>IFERROR(+G42-D42,'!'!$GJ$15)</f>
        <v>N</v>
      </c>
      <c r="U42" s="64" t="str">
        <f t="shared" si="1"/>
        <v>N</v>
      </c>
      <c r="W42" s="153" t="str">
        <f>IFERROR(I$10*I42,'!'!$GJ$15)</f>
        <v>N</v>
      </c>
      <c r="X42" s="153" t="str">
        <f>IFERROR(K$10*K42,'!'!$GJ$15)</f>
        <v>N</v>
      </c>
      <c r="Y42" s="153" t="str">
        <f>IFERROR(M$10*M42,'!'!$GJ$15)</f>
        <v>N</v>
      </c>
      <c r="Z42" s="153" t="str">
        <f>IFERROR(O$10*O43,'!'!$GJ$15)</f>
        <v>N</v>
      </c>
    </row>
    <row r="43" spans="1:26" x14ac:dyDescent="0.35">
      <c r="A43" s="4">
        <f t="shared" si="0"/>
        <v>19</v>
      </c>
      <c r="B43" s="286" t="str">
        <f>IFERROR(IF(Report!$D$4='!'!$HE$4,VLOOKUP(A43,Reference!$B$25:$H$390,2,FALSE),VLOOKUP(A43,Monitoring!$B$25:$H$390,2,FALSE)),'!'!$GJ$15)</f>
        <v>N</v>
      </c>
      <c r="C43" s="58" t="str">
        <f>Reference!A43</f>
        <v/>
      </c>
      <c r="D43" s="287" t="str">
        <f>IFERROR(IF(Report!$D$4='!'!$HE$4,VLOOKUP(A43,Reference!$B$25:$H$390,3,FALSE),VLOOKUP(A43,Monitoring!$B$25:$H$390,3,FALSE)),'!'!$GJ$15)</f>
        <v>N</v>
      </c>
      <c r="E43" s="284"/>
      <c r="F43" s="254"/>
      <c r="G43" s="151" t="str">
        <f>IF(D43='!'!$GJ$15,'!'!$GJ$15,(SUM(W43,X43,Y43,Z42,Q43)))</f>
        <v>N</v>
      </c>
      <c r="H43" s="52"/>
      <c r="I43" s="299" t="str">
        <f>IF($I$12="","",IFERROR(IF(Report!$D$4='!'!$HE$4,VLOOKUP(A43,Reference!$B$25:$H$390,4,FALSE),VLOOKUP(A43,Monitoring!$B$25:$H$390,4,FALSE)),""))</f>
        <v/>
      </c>
      <c r="J43" s="256"/>
      <c r="K43" s="299" t="str">
        <f>IF($K$12="","",IFERROR(IF(Report!$D$4='!'!$HE$4,VLOOKUP(A43,Reference!$B$25:$H$390,5,FALSE),VLOOKUP(A43,Monitoring!$B$25:$H$390,5,FALSE)),""))</f>
        <v/>
      </c>
      <c r="L43" s="256"/>
      <c r="M43" s="299" t="str">
        <f>IF($M$12="","",IFERROR(IF(Report!$D$4='!'!$HE$4,VLOOKUP(A43,Reference!$B$25:$H$390,6,FALSE),VLOOKUP(A43,Monitoring!$B$25:$H$390,6,FALSE)),""))</f>
        <v/>
      </c>
      <c r="N43" s="256"/>
      <c r="O43" s="299" t="str">
        <f>IF($O$12="","",IFERROR(IF(Report!$D$4='!'!$HE$4,VLOOKUP(A43,Reference!$B$25:$H$390,7,FALSE),VLOOKUP(A43,Monitoring!$B$25:$H$390,7,FALSE)),""))</f>
        <v/>
      </c>
      <c r="P43" s="52"/>
      <c r="Q43" s="151" t="str">
        <f>IF(B43='!'!$GJ$15,'!'!$GJ$15,$Q$12)</f>
        <v>N</v>
      </c>
      <c r="S43" s="4" t="str">
        <f>IFERROR(ABS(T43),'!'!$GJ$15)</f>
        <v>N</v>
      </c>
      <c r="T43" s="84" t="str">
        <f>IFERROR(+G43-D43,'!'!$GJ$15)</f>
        <v>N</v>
      </c>
      <c r="U43" s="64" t="str">
        <f t="shared" si="1"/>
        <v>N</v>
      </c>
      <c r="W43" s="153" t="str">
        <f>IFERROR(I$10*I43,'!'!$GJ$15)</f>
        <v>N</v>
      </c>
      <c r="X43" s="153" t="str">
        <f>IFERROR(K$10*K43,'!'!$GJ$15)</f>
        <v>N</v>
      </c>
      <c r="Y43" s="153" t="str">
        <f>IFERROR(M$10*M43,'!'!$GJ$15)</f>
        <v>N</v>
      </c>
      <c r="Z43" s="153" t="str">
        <f>IFERROR(O$10*O44,'!'!$GJ$15)</f>
        <v>N</v>
      </c>
    </row>
    <row r="44" spans="1:26" x14ac:dyDescent="0.35">
      <c r="A44" s="4">
        <f t="shared" si="0"/>
        <v>20</v>
      </c>
      <c r="B44" s="286" t="str">
        <f>IFERROR(IF(Report!$D$4='!'!$HE$4,VLOOKUP(A44,Reference!$B$25:$H$390,2,FALSE),VLOOKUP(A44,Monitoring!$B$25:$H$390,2,FALSE)),'!'!$GJ$15)</f>
        <v>N</v>
      </c>
      <c r="C44" s="58" t="str">
        <f>Reference!A44</f>
        <v/>
      </c>
      <c r="D44" s="287" t="str">
        <f>IFERROR(IF(Report!$D$4='!'!$HE$4,VLOOKUP(A44,Reference!$B$25:$H$390,3,FALSE),VLOOKUP(A44,Monitoring!$B$25:$H$390,3,FALSE)),'!'!$GJ$15)</f>
        <v>N</v>
      </c>
      <c r="E44" s="284"/>
      <c r="F44" s="254"/>
      <c r="G44" s="151" t="str">
        <f>IF(D44='!'!$GJ$15,'!'!$GJ$15,(SUM(W44,X44,Y44,Z43,Q44)))</f>
        <v>N</v>
      </c>
      <c r="H44" s="52"/>
      <c r="I44" s="299" t="str">
        <f>IF($I$12="","",IFERROR(IF(Report!$D$4='!'!$HE$4,VLOOKUP(A44,Reference!$B$25:$H$390,4,FALSE),VLOOKUP(A44,Monitoring!$B$25:$H$390,4,FALSE)),""))</f>
        <v/>
      </c>
      <c r="J44" s="256"/>
      <c r="K44" s="299" t="str">
        <f>IF($K$12="","",IFERROR(IF(Report!$D$4='!'!$HE$4,VLOOKUP(A44,Reference!$B$25:$H$390,5,FALSE),VLOOKUP(A44,Monitoring!$B$25:$H$390,5,FALSE)),""))</f>
        <v/>
      </c>
      <c r="L44" s="256"/>
      <c r="M44" s="299" t="str">
        <f>IF($M$12="","",IFERROR(IF(Report!$D$4='!'!$HE$4,VLOOKUP(A44,Reference!$B$25:$H$390,6,FALSE),VLOOKUP(A44,Monitoring!$B$25:$H$390,6,FALSE)),""))</f>
        <v/>
      </c>
      <c r="N44" s="256"/>
      <c r="O44" s="299" t="str">
        <f>IF($O$12="","",IFERROR(IF(Report!$D$4='!'!$HE$4,VLOOKUP(A44,Reference!$B$25:$H$390,7,FALSE),VLOOKUP(A44,Monitoring!$B$25:$H$390,7,FALSE)),""))</f>
        <v/>
      </c>
      <c r="P44" s="52"/>
      <c r="Q44" s="151" t="str">
        <f>IF(B44='!'!$GJ$15,'!'!$GJ$15,$Q$12)</f>
        <v>N</v>
      </c>
      <c r="S44" s="4" t="str">
        <f>IFERROR(ABS(T44),'!'!$GJ$15)</f>
        <v>N</v>
      </c>
      <c r="T44" s="84" t="str">
        <f>IFERROR(+G44-D44,'!'!$GJ$15)</f>
        <v>N</v>
      </c>
      <c r="U44" s="64" t="str">
        <f t="shared" si="1"/>
        <v>N</v>
      </c>
      <c r="W44" s="153" t="str">
        <f>IFERROR(I$10*I44,'!'!$GJ$15)</f>
        <v>N</v>
      </c>
      <c r="X44" s="153" t="str">
        <f>IFERROR(K$10*K44,'!'!$GJ$15)</f>
        <v>N</v>
      </c>
      <c r="Y44" s="153" t="str">
        <f>IFERROR(M$10*M44,'!'!$GJ$15)</f>
        <v>N</v>
      </c>
      <c r="Z44" s="153" t="str">
        <f>IFERROR(O$10*O45,'!'!$GJ$15)</f>
        <v>N</v>
      </c>
    </row>
    <row r="45" spans="1:26" x14ac:dyDescent="0.35">
      <c r="A45" s="4">
        <f t="shared" si="0"/>
        <v>21</v>
      </c>
      <c r="B45" s="286" t="str">
        <f>IFERROR(IF(Report!$D$4='!'!$HE$4,VLOOKUP(A45,Reference!$B$25:$H$390,2,FALSE),VLOOKUP(A45,Monitoring!$B$25:$H$390,2,FALSE)),'!'!$GJ$15)</f>
        <v>N</v>
      </c>
      <c r="C45" s="58" t="str">
        <f>Reference!A45</f>
        <v/>
      </c>
      <c r="D45" s="287" t="str">
        <f>IFERROR(IF(Report!$D$4='!'!$HE$4,VLOOKUP(A45,Reference!$B$25:$H$390,3,FALSE),VLOOKUP(A45,Monitoring!$B$25:$H$390,3,FALSE)),'!'!$GJ$15)</f>
        <v>N</v>
      </c>
      <c r="E45" s="284"/>
      <c r="F45" s="254"/>
      <c r="G45" s="151" t="str">
        <f>IF(D45='!'!$GJ$15,'!'!$GJ$15,(SUM(W45,X45,Y45,Z44,Q45)))</f>
        <v>N</v>
      </c>
      <c r="H45" s="52"/>
      <c r="I45" s="299" t="str">
        <f>IF($I$12="","",IFERROR(IF(Report!$D$4='!'!$HE$4,VLOOKUP(A45,Reference!$B$25:$H$390,4,FALSE),VLOOKUP(A45,Monitoring!$B$25:$H$390,4,FALSE)),""))</f>
        <v/>
      </c>
      <c r="J45" s="256"/>
      <c r="K45" s="299" t="str">
        <f>IF($K$12="","",IFERROR(IF(Report!$D$4='!'!$HE$4,VLOOKUP(A45,Reference!$B$25:$H$390,5,FALSE),VLOOKUP(A45,Monitoring!$B$25:$H$390,5,FALSE)),""))</f>
        <v/>
      </c>
      <c r="L45" s="256"/>
      <c r="M45" s="299" t="str">
        <f>IF($M$12="","",IFERROR(IF(Report!$D$4='!'!$HE$4,VLOOKUP(A45,Reference!$B$25:$H$390,6,FALSE),VLOOKUP(A45,Monitoring!$B$25:$H$390,6,FALSE)),""))</f>
        <v/>
      </c>
      <c r="N45" s="256"/>
      <c r="O45" s="299" t="str">
        <f>IF($O$12="","",IFERROR(IF(Report!$D$4='!'!$HE$4,VLOOKUP(A45,Reference!$B$25:$H$390,7,FALSE),VLOOKUP(A45,Monitoring!$B$25:$H$390,7,FALSE)),""))</f>
        <v/>
      </c>
      <c r="P45" s="52"/>
      <c r="Q45" s="151" t="str">
        <f>IF(B45='!'!$GJ$15,'!'!$GJ$15,$Q$12)</f>
        <v>N</v>
      </c>
      <c r="S45" s="4" t="str">
        <f>IFERROR(ABS(T45),'!'!$GJ$15)</f>
        <v>N</v>
      </c>
      <c r="T45" s="84" t="str">
        <f>IFERROR(+G45-D45,'!'!$GJ$15)</f>
        <v>N</v>
      </c>
      <c r="U45" s="64" t="str">
        <f t="shared" si="1"/>
        <v>N</v>
      </c>
      <c r="W45" s="153" t="str">
        <f>IFERROR(I$10*I45,'!'!$GJ$15)</f>
        <v>N</v>
      </c>
      <c r="X45" s="153" t="str">
        <f>IFERROR(K$10*K45,'!'!$GJ$15)</f>
        <v>N</v>
      </c>
      <c r="Y45" s="153" t="str">
        <f>IFERROR(M$10*M45,'!'!$GJ$15)</f>
        <v>N</v>
      </c>
      <c r="Z45" s="153" t="str">
        <f>IFERROR(O$10*O46,'!'!$GJ$15)</f>
        <v>N</v>
      </c>
    </row>
    <row r="46" spans="1:26" x14ac:dyDescent="0.35">
      <c r="A46" s="4">
        <f t="shared" si="0"/>
        <v>22</v>
      </c>
      <c r="B46" s="286" t="str">
        <f>IFERROR(IF(Report!$D$4='!'!$HE$4,VLOOKUP(A46,Reference!$B$25:$H$390,2,FALSE),VLOOKUP(A46,Monitoring!$B$25:$H$390,2,FALSE)),'!'!$GJ$15)</f>
        <v>N</v>
      </c>
      <c r="C46" s="58" t="str">
        <f>Reference!A46</f>
        <v/>
      </c>
      <c r="D46" s="287" t="str">
        <f>IFERROR(IF(Report!$D$4='!'!$HE$4,VLOOKUP(A46,Reference!$B$25:$H$390,3,FALSE),VLOOKUP(A46,Monitoring!$B$25:$H$390,3,FALSE)),'!'!$GJ$15)</f>
        <v>N</v>
      </c>
      <c r="E46" s="284"/>
      <c r="F46" s="254"/>
      <c r="G46" s="151" t="str">
        <f>IF(D46='!'!$GJ$15,'!'!$GJ$15,(SUM(W46,X46,Y46,Z45,Q46)))</f>
        <v>N</v>
      </c>
      <c r="H46" s="52"/>
      <c r="I46" s="299" t="str">
        <f>IF($I$12="","",IFERROR(IF(Report!$D$4='!'!$HE$4,VLOOKUP(A46,Reference!$B$25:$H$390,4,FALSE),VLOOKUP(A46,Monitoring!$B$25:$H$390,4,FALSE)),""))</f>
        <v/>
      </c>
      <c r="J46" s="256"/>
      <c r="K46" s="299" t="str">
        <f>IF($K$12="","",IFERROR(IF(Report!$D$4='!'!$HE$4,VLOOKUP(A46,Reference!$B$25:$H$390,5,FALSE),VLOOKUP(A46,Monitoring!$B$25:$H$390,5,FALSE)),""))</f>
        <v/>
      </c>
      <c r="L46" s="256"/>
      <c r="M46" s="299" t="str">
        <f>IF($M$12="","",IFERROR(IF(Report!$D$4='!'!$HE$4,VLOOKUP(A46,Reference!$B$25:$H$390,6,FALSE),VLOOKUP(A46,Monitoring!$B$25:$H$390,6,FALSE)),""))</f>
        <v/>
      </c>
      <c r="N46" s="256"/>
      <c r="O46" s="299" t="str">
        <f>IF($O$12="","",IFERROR(IF(Report!$D$4='!'!$HE$4,VLOOKUP(A46,Reference!$B$25:$H$390,7,FALSE),VLOOKUP(A46,Monitoring!$B$25:$H$390,7,FALSE)),""))</f>
        <v/>
      </c>
      <c r="P46" s="52"/>
      <c r="Q46" s="151" t="str">
        <f>IF(B46='!'!$GJ$15,'!'!$GJ$15,$Q$12)</f>
        <v>N</v>
      </c>
      <c r="S46" s="4" t="str">
        <f>IFERROR(ABS(T46),'!'!$GJ$15)</f>
        <v>N</v>
      </c>
      <c r="T46" s="84" t="str">
        <f>IFERROR(+G46-D46,'!'!$GJ$15)</f>
        <v>N</v>
      </c>
      <c r="U46" s="64" t="str">
        <f t="shared" si="1"/>
        <v>N</v>
      </c>
      <c r="W46" s="153" t="str">
        <f>IFERROR(I$10*I46,'!'!$GJ$15)</f>
        <v>N</v>
      </c>
      <c r="X46" s="153" t="str">
        <f>IFERROR(K$10*K46,'!'!$GJ$15)</f>
        <v>N</v>
      </c>
      <c r="Y46" s="153" t="str">
        <f>IFERROR(M$10*M46,'!'!$GJ$15)</f>
        <v>N</v>
      </c>
      <c r="Z46" s="153" t="str">
        <f>IFERROR(O$10*O47,'!'!$GJ$15)</f>
        <v>N</v>
      </c>
    </row>
    <row r="47" spans="1:26" x14ac:dyDescent="0.35">
      <c r="A47" s="4">
        <f t="shared" si="0"/>
        <v>23</v>
      </c>
      <c r="B47" s="286" t="str">
        <f>IFERROR(IF(Report!$D$4='!'!$HE$4,VLOOKUP(A47,Reference!$B$25:$H$390,2,FALSE),VLOOKUP(A47,Monitoring!$B$25:$H$390,2,FALSE)),'!'!$GJ$15)</f>
        <v>N</v>
      </c>
      <c r="C47" s="58" t="str">
        <f>Reference!A47</f>
        <v/>
      </c>
      <c r="D47" s="287" t="str">
        <f>IFERROR(IF(Report!$D$4='!'!$HE$4,VLOOKUP(A47,Reference!$B$25:$H$390,3,FALSE),VLOOKUP(A47,Monitoring!$B$25:$H$390,3,FALSE)),'!'!$GJ$15)</f>
        <v>N</v>
      </c>
      <c r="E47" s="284"/>
      <c r="F47" s="254"/>
      <c r="G47" s="151" t="str">
        <f>IF(D47='!'!$GJ$15,'!'!$GJ$15,(SUM(W47,X47,Y47,Z46,Q47)))</f>
        <v>N</v>
      </c>
      <c r="H47" s="52"/>
      <c r="I47" s="299" t="str">
        <f>IF($I$12="","",IFERROR(IF(Report!$D$4='!'!$HE$4,VLOOKUP(A47,Reference!$B$25:$H$390,4,FALSE),VLOOKUP(A47,Monitoring!$B$25:$H$390,4,FALSE)),""))</f>
        <v/>
      </c>
      <c r="J47" s="256"/>
      <c r="K47" s="299" t="str">
        <f>IF($K$12="","",IFERROR(IF(Report!$D$4='!'!$HE$4,VLOOKUP(A47,Reference!$B$25:$H$390,5,FALSE),VLOOKUP(A47,Monitoring!$B$25:$H$390,5,FALSE)),""))</f>
        <v/>
      </c>
      <c r="L47" s="256"/>
      <c r="M47" s="299" t="str">
        <f>IF($M$12="","",IFERROR(IF(Report!$D$4='!'!$HE$4,VLOOKUP(A47,Reference!$B$25:$H$390,6,FALSE),VLOOKUP(A47,Monitoring!$B$25:$H$390,6,FALSE)),""))</f>
        <v/>
      </c>
      <c r="N47" s="256"/>
      <c r="O47" s="299" t="str">
        <f>IF($O$12="","",IFERROR(IF(Report!$D$4='!'!$HE$4,VLOOKUP(A47,Reference!$B$25:$H$390,7,FALSE),VLOOKUP(A47,Monitoring!$B$25:$H$390,7,FALSE)),""))</f>
        <v/>
      </c>
      <c r="P47" s="52"/>
      <c r="Q47" s="151" t="str">
        <f>IF(B47='!'!$GJ$15,'!'!$GJ$15,$Q$12)</f>
        <v>N</v>
      </c>
      <c r="S47" s="4" t="str">
        <f>IFERROR(ABS(T47),'!'!$GJ$15)</f>
        <v>N</v>
      </c>
      <c r="T47" s="84" t="str">
        <f>IFERROR(+G47-D47,'!'!$GJ$15)</f>
        <v>N</v>
      </c>
      <c r="U47" s="64" t="str">
        <f t="shared" si="1"/>
        <v>N</v>
      </c>
      <c r="W47" s="153" t="str">
        <f>IFERROR(I$10*I47,'!'!$GJ$15)</f>
        <v>N</v>
      </c>
      <c r="X47" s="153" t="str">
        <f>IFERROR(K$10*K47,'!'!$GJ$15)</f>
        <v>N</v>
      </c>
      <c r="Y47" s="153" t="str">
        <f>IFERROR(M$10*M47,'!'!$GJ$15)</f>
        <v>N</v>
      </c>
      <c r="Z47" s="153" t="str">
        <f>IFERROR(O$10*O48,'!'!$GJ$15)</f>
        <v>N</v>
      </c>
    </row>
    <row r="48" spans="1:26" x14ac:dyDescent="0.35">
      <c r="A48" s="4">
        <f t="shared" si="0"/>
        <v>24</v>
      </c>
      <c r="B48" s="286" t="str">
        <f>IFERROR(IF(Report!$D$4='!'!$HE$4,VLOOKUP(A48,Reference!$B$25:$H$390,2,FALSE),VLOOKUP(A48,Monitoring!$B$25:$H$390,2,FALSE)),'!'!$GJ$15)</f>
        <v>N</v>
      </c>
      <c r="C48" s="58" t="str">
        <f>Reference!A48</f>
        <v/>
      </c>
      <c r="D48" s="287" t="str">
        <f>IFERROR(IF(Report!$D$4='!'!$HE$4,VLOOKUP(A48,Reference!$B$25:$H$390,3,FALSE),VLOOKUP(A48,Monitoring!$B$25:$H$390,3,FALSE)),'!'!$GJ$15)</f>
        <v>N</v>
      </c>
      <c r="E48" s="284"/>
      <c r="F48" s="254"/>
      <c r="G48" s="151" t="str">
        <f>IF(D48='!'!$GJ$15,'!'!$GJ$15,(SUM(W48,X48,Y48,Z47,Q48)))</f>
        <v>N</v>
      </c>
      <c r="H48" s="52"/>
      <c r="I48" s="299" t="str">
        <f>IF($I$12="","",IFERROR(IF(Report!$D$4='!'!$HE$4,VLOOKUP(A48,Reference!$B$25:$H$390,4,FALSE),VLOOKUP(A48,Monitoring!$B$25:$H$390,4,FALSE)),""))</f>
        <v/>
      </c>
      <c r="J48" s="256"/>
      <c r="K48" s="299" t="str">
        <f>IF($K$12="","",IFERROR(IF(Report!$D$4='!'!$HE$4,VLOOKUP(A48,Reference!$B$25:$H$390,5,FALSE),VLOOKUP(A48,Monitoring!$B$25:$H$390,5,FALSE)),""))</f>
        <v/>
      </c>
      <c r="L48" s="256"/>
      <c r="M48" s="299" t="str">
        <f>IF($M$12="","",IFERROR(IF(Report!$D$4='!'!$HE$4,VLOOKUP(A48,Reference!$B$25:$H$390,6,FALSE),VLOOKUP(A48,Monitoring!$B$25:$H$390,6,FALSE)),""))</f>
        <v/>
      </c>
      <c r="N48" s="256"/>
      <c r="O48" s="299" t="str">
        <f>IF($O$12="","",IFERROR(IF(Report!$D$4='!'!$HE$4,VLOOKUP(A48,Reference!$B$25:$H$390,7,FALSE),VLOOKUP(A48,Monitoring!$B$25:$H$390,7,FALSE)),""))</f>
        <v/>
      </c>
      <c r="P48" s="52"/>
      <c r="Q48" s="151" t="str">
        <f>IF(B48='!'!$GJ$15,'!'!$GJ$15,$Q$12)</f>
        <v>N</v>
      </c>
      <c r="S48" s="4" t="str">
        <f>IFERROR(ABS(T48),'!'!$GJ$15)</f>
        <v>N</v>
      </c>
      <c r="T48" s="84" t="str">
        <f>IFERROR(+G48-D48,'!'!$GJ$15)</f>
        <v>N</v>
      </c>
      <c r="U48" s="64" t="str">
        <f t="shared" si="1"/>
        <v>N</v>
      </c>
      <c r="W48" s="153" t="str">
        <f>IFERROR(I$10*I48,'!'!$GJ$15)</f>
        <v>N</v>
      </c>
      <c r="X48" s="153" t="str">
        <f>IFERROR(K$10*K48,'!'!$GJ$15)</f>
        <v>N</v>
      </c>
      <c r="Y48" s="153" t="str">
        <f>IFERROR(M$10*M48,'!'!$GJ$15)</f>
        <v>N</v>
      </c>
      <c r="Z48" s="153" t="str">
        <f>IFERROR(O$10*O49,'!'!$GJ$15)</f>
        <v>N</v>
      </c>
    </row>
    <row r="49" spans="1:26" x14ac:dyDescent="0.35">
      <c r="A49" s="4">
        <f t="shared" si="0"/>
        <v>25</v>
      </c>
      <c r="B49" s="286" t="str">
        <f>IFERROR(IF(Report!$D$4='!'!$HE$4,VLOOKUP(A49,Reference!$B$25:$H$390,2,FALSE),VLOOKUP(A49,Monitoring!$B$25:$H$390,2,FALSE)),'!'!$GJ$15)</f>
        <v>N</v>
      </c>
      <c r="C49" s="58" t="str">
        <f>Reference!A49</f>
        <v/>
      </c>
      <c r="D49" s="287" t="str">
        <f>IFERROR(IF(Report!$D$4='!'!$HE$4,VLOOKUP(A49,Reference!$B$25:$H$390,3,FALSE),VLOOKUP(A49,Monitoring!$B$25:$H$390,3,FALSE)),'!'!$GJ$15)</f>
        <v>N</v>
      </c>
      <c r="E49" s="284"/>
      <c r="F49" s="254"/>
      <c r="G49" s="151" t="str">
        <f>IF(D49='!'!$GJ$15,'!'!$GJ$15,(SUM(W49,X49,Y49,Z48,Q49)))</f>
        <v>N</v>
      </c>
      <c r="H49" s="52"/>
      <c r="I49" s="299" t="str">
        <f>IF($I$12="","",IFERROR(IF(Report!$D$4='!'!$HE$4,VLOOKUP(A49,Reference!$B$25:$H$390,4,FALSE),VLOOKUP(A49,Monitoring!$B$25:$H$390,4,FALSE)),""))</f>
        <v/>
      </c>
      <c r="J49" s="256"/>
      <c r="K49" s="299" t="str">
        <f>IF($K$12="","",IFERROR(IF(Report!$D$4='!'!$HE$4,VLOOKUP(A49,Reference!$B$25:$H$390,5,FALSE),VLOOKUP(A49,Monitoring!$B$25:$H$390,5,FALSE)),""))</f>
        <v/>
      </c>
      <c r="L49" s="256"/>
      <c r="M49" s="299" t="str">
        <f>IF($M$12="","",IFERROR(IF(Report!$D$4='!'!$HE$4,VLOOKUP(A49,Reference!$B$25:$H$390,6,FALSE),VLOOKUP(A49,Monitoring!$B$25:$H$390,6,FALSE)),""))</f>
        <v/>
      </c>
      <c r="N49" s="256"/>
      <c r="O49" s="299" t="str">
        <f>IF($O$12="","",IFERROR(IF(Report!$D$4='!'!$HE$4,VLOOKUP(A49,Reference!$B$25:$H$390,7,FALSE),VLOOKUP(A49,Monitoring!$B$25:$H$390,7,FALSE)),""))</f>
        <v/>
      </c>
      <c r="P49" s="52"/>
      <c r="Q49" s="151" t="str">
        <f>IF(B49='!'!$GJ$15,'!'!$GJ$15,$Q$12)</f>
        <v>N</v>
      </c>
      <c r="S49" s="4" t="str">
        <f>IFERROR(ABS(T49),'!'!$GJ$15)</f>
        <v>N</v>
      </c>
      <c r="T49" s="84" t="str">
        <f>IFERROR(+G49-D49,'!'!$GJ$15)</f>
        <v>N</v>
      </c>
      <c r="U49" s="64" t="str">
        <f t="shared" si="1"/>
        <v>N</v>
      </c>
      <c r="W49" s="153" t="str">
        <f>IFERROR(I$10*I49,'!'!$GJ$15)</f>
        <v>N</v>
      </c>
      <c r="X49" s="153" t="str">
        <f>IFERROR(K$10*K49,'!'!$GJ$15)</f>
        <v>N</v>
      </c>
      <c r="Y49" s="153" t="str">
        <f>IFERROR(M$10*M49,'!'!$GJ$15)</f>
        <v>N</v>
      </c>
      <c r="Z49" s="153" t="str">
        <f>IFERROR(O$10*O50,'!'!$GJ$15)</f>
        <v>N</v>
      </c>
    </row>
    <row r="50" spans="1:26" x14ac:dyDescent="0.35">
      <c r="A50" s="4">
        <f t="shared" si="0"/>
        <v>26</v>
      </c>
      <c r="B50" s="286" t="str">
        <f>IFERROR(IF(Report!$D$4='!'!$HE$4,VLOOKUP(A50,Reference!$B$25:$H$390,2,FALSE),VLOOKUP(A50,Monitoring!$B$25:$H$390,2,FALSE)),'!'!$GJ$15)</f>
        <v>N</v>
      </c>
      <c r="C50" s="58" t="str">
        <f>Reference!A50</f>
        <v/>
      </c>
      <c r="D50" s="287" t="str">
        <f>IFERROR(IF(Report!$D$4='!'!$HE$4,VLOOKUP(A50,Reference!$B$25:$H$390,3,FALSE),VLOOKUP(A50,Monitoring!$B$25:$H$390,3,FALSE)),'!'!$GJ$15)</f>
        <v>N</v>
      </c>
      <c r="E50" s="150"/>
      <c r="F50" s="254"/>
      <c r="G50" s="151" t="str">
        <f>IF(D50='!'!$GJ$15,'!'!$GJ$15,(SUM(W50,X50,Y50,Z49,Q50)))</f>
        <v>N</v>
      </c>
      <c r="H50" s="52"/>
      <c r="I50" s="299" t="str">
        <f>IF($I$12="","",IFERROR(IF(Report!$D$4='!'!$HE$4,VLOOKUP(A50,Reference!$B$25:$H$390,4,FALSE),VLOOKUP(A50,Monitoring!$B$25:$H$390,4,FALSE)),""))</f>
        <v/>
      </c>
      <c r="J50" s="256"/>
      <c r="K50" s="299" t="str">
        <f>IF($K$12="","",IFERROR(IF(Report!$D$4='!'!$HE$4,VLOOKUP(A50,Reference!$B$25:$H$390,5,FALSE),VLOOKUP(A50,Monitoring!$B$25:$H$390,5,FALSE)),""))</f>
        <v/>
      </c>
      <c r="L50" s="256"/>
      <c r="M50" s="299" t="str">
        <f>IF($M$12="","",IFERROR(IF(Report!$D$4='!'!$HE$4,VLOOKUP(A50,Reference!$B$25:$H$390,6,FALSE),VLOOKUP(A50,Monitoring!$B$25:$H$390,6,FALSE)),""))</f>
        <v/>
      </c>
      <c r="N50" s="256"/>
      <c r="O50" s="299" t="str">
        <f>IF($O$12="","",IFERROR(IF(Report!$D$4='!'!$HE$4,VLOOKUP(A50,Reference!$B$25:$H$390,7,FALSE),VLOOKUP(A50,Monitoring!$B$25:$H$390,7,FALSE)),""))</f>
        <v/>
      </c>
      <c r="P50" s="52"/>
      <c r="Q50" s="151" t="str">
        <f>IF(B50='!'!$GJ$15,'!'!$GJ$15,$Q$12)</f>
        <v>N</v>
      </c>
      <c r="S50" s="4" t="str">
        <f>IFERROR(ABS(T50),'!'!$GJ$15)</f>
        <v>N</v>
      </c>
      <c r="T50" s="84" t="str">
        <f>IFERROR(+G50-D50,'!'!$GJ$15)</f>
        <v>N</v>
      </c>
      <c r="U50" s="64" t="str">
        <f t="shared" si="1"/>
        <v>N</v>
      </c>
      <c r="W50" s="153" t="str">
        <f>IFERROR(I$10*I50,'!'!$GJ$15)</f>
        <v>N</v>
      </c>
      <c r="X50" s="153" t="str">
        <f>IFERROR(K$10*K50,'!'!$GJ$15)</f>
        <v>N</v>
      </c>
      <c r="Y50" s="153" t="str">
        <f>IFERROR(M$10*M50,'!'!$GJ$15)</f>
        <v>N</v>
      </c>
      <c r="Z50" s="153" t="str">
        <f>IFERROR(O$10*O51,'!'!$GJ$15)</f>
        <v>N</v>
      </c>
    </row>
    <row r="51" spans="1:26" x14ac:dyDescent="0.35">
      <c r="A51" s="4">
        <f t="shared" si="0"/>
        <v>27</v>
      </c>
      <c r="B51" s="286" t="str">
        <f>IFERROR(IF(Report!$D$4='!'!$HE$4,VLOOKUP(A51,Reference!$B$25:$H$390,2,FALSE),VLOOKUP(A51,Monitoring!$B$25:$H$390,2,FALSE)),'!'!$GJ$15)</f>
        <v>N</v>
      </c>
      <c r="C51" s="58" t="str">
        <f>Reference!A51</f>
        <v/>
      </c>
      <c r="D51" s="287" t="str">
        <f>IFERROR(IF(Report!$D$4='!'!$HE$4,VLOOKUP(A51,Reference!$B$25:$H$390,3,FALSE),VLOOKUP(A51,Monitoring!$B$25:$H$390,3,FALSE)),'!'!$GJ$15)</f>
        <v>N</v>
      </c>
      <c r="E51" s="150"/>
      <c r="F51" s="254"/>
      <c r="G51" s="151" t="str">
        <f>IF(D51='!'!$GJ$15,'!'!$GJ$15,(SUM(W51,X51,Y51,Z50,Q51)))</f>
        <v>N</v>
      </c>
      <c r="H51" s="52"/>
      <c r="I51" s="299" t="str">
        <f>IF($I$12="","",IFERROR(IF(Report!$D$4='!'!$HE$4,VLOOKUP(A51,Reference!$B$25:$H$390,4,FALSE),VLOOKUP(A51,Monitoring!$B$25:$H$390,4,FALSE)),""))</f>
        <v/>
      </c>
      <c r="J51" s="256"/>
      <c r="K51" s="299" t="str">
        <f>IF($K$12="","",IFERROR(IF(Report!$D$4='!'!$HE$4,VLOOKUP(A51,Reference!$B$25:$H$390,5,FALSE),VLOOKUP(A51,Monitoring!$B$25:$H$390,5,FALSE)),""))</f>
        <v/>
      </c>
      <c r="L51" s="256"/>
      <c r="M51" s="299" t="str">
        <f>IF($M$12="","",IFERROR(IF(Report!$D$4='!'!$HE$4,VLOOKUP(A51,Reference!$B$25:$H$390,6,FALSE),VLOOKUP(A51,Monitoring!$B$25:$H$390,6,FALSE)),""))</f>
        <v/>
      </c>
      <c r="N51" s="256"/>
      <c r="O51" s="299" t="str">
        <f>IF($O$12="","",IFERROR(IF(Report!$D$4='!'!$HE$4,VLOOKUP(A51,Reference!$B$25:$H$390,7,FALSE),VLOOKUP(A51,Monitoring!$B$25:$H$390,7,FALSE)),""))</f>
        <v/>
      </c>
      <c r="P51" s="52"/>
      <c r="Q51" s="151" t="str">
        <f>IF(B51='!'!$GJ$15,'!'!$GJ$15,$Q$12)</f>
        <v>N</v>
      </c>
      <c r="S51" s="4" t="str">
        <f>IFERROR(ABS(T51),'!'!$GJ$15)</f>
        <v>N</v>
      </c>
      <c r="T51" s="84" t="str">
        <f>IFERROR(+G51-D51,'!'!$GJ$15)</f>
        <v>N</v>
      </c>
      <c r="U51" s="64" t="str">
        <f t="shared" si="1"/>
        <v>N</v>
      </c>
      <c r="W51" s="153" t="str">
        <f>IFERROR(I$10*I51,'!'!$GJ$15)</f>
        <v>N</v>
      </c>
      <c r="X51" s="153" t="str">
        <f>IFERROR(K$10*K51,'!'!$GJ$15)</f>
        <v>N</v>
      </c>
      <c r="Y51" s="153" t="str">
        <f>IFERROR(M$10*M51,'!'!$GJ$15)</f>
        <v>N</v>
      </c>
      <c r="Z51" s="153" t="str">
        <f>IFERROR(O$10*O52,'!'!$GJ$15)</f>
        <v>N</v>
      </c>
    </row>
    <row r="52" spans="1:26" x14ac:dyDescent="0.35">
      <c r="A52" s="4">
        <f t="shared" si="0"/>
        <v>28</v>
      </c>
      <c r="B52" s="286" t="str">
        <f>IFERROR(IF(Report!$D$4='!'!$HE$4,VLOOKUP(A52,Reference!$B$25:$H$390,2,FALSE),VLOOKUP(A52,Monitoring!$B$25:$H$390,2,FALSE)),'!'!$GJ$15)</f>
        <v>N</v>
      </c>
      <c r="C52" s="58" t="str">
        <f>Reference!A52</f>
        <v/>
      </c>
      <c r="D52" s="287" t="str">
        <f>IFERROR(IF(Report!$D$4='!'!$HE$4,VLOOKUP(A52,Reference!$B$25:$H$390,3,FALSE),VLOOKUP(A52,Monitoring!$B$25:$H$390,3,FALSE)),'!'!$GJ$15)</f>
        <v>N</v>
      </c>
      <c r="E52" s="150"/>
      <c r="F52" s="254"/>
      <c r="G52" s="151" t="str">
        <f>IF(D52='!'!$GJ$15,'!'!$GJ$15,(SUM(W52,X52,Y52,Z51,Q52)))</f>
        <v>N</v>
      </c>
      <c r="H52" s="52"/>
      <c r="I52" s="299" t="str">
        <f>IF($I$12="","",IFERROR(IF(Report!$D$4='!'!$HE$4,VLOOKUP(A52,Reference!$B$25:$H$390,4,FALSE),VLOOKUP(A52,Monitoring!$B$25:$H$390,4,FALSE)),""))</f>
        <v/>
      </c>
      <c r="J52" s="256"/>
      <c r="K52" s="299" t="str">
        <f>IF($K$12="","",IFERROR(IF(Report!$D$4='!'!$HE$4,VLOOKUP(A52,Reference!$B$25:$H$390,5,FALSE),VLOOKUP(A52,Monitoring!$B$25:$H$390,5,FALSE)),""))</f>
        <v/>
      </c>
      <c r="L52" s="256"/>
      <c r="M52" s="299" t="str">
        <f>IF($M$12="","",IFERROR(IF(Report!$D$4='!'!$HE$4,VLOOKUP(A52,Reference!$B$25:$H$390,6,FALSE),VLOOKUP(A52,Monitoring!$B$25:$H$390,6,FALSE)),""))</f>
        <v/>
      </c>
      <c r="N52" s="256"/>
      <c r="O52" s="299" t="str">
        <f>IF($O$12="","",IFERROR(IF(Report!$D$4='!'!$HE$4,VLOOKUP(A52,Reference!$B$25:$H$390,7,FALSE),VLOOKUP(A52,Monitoring!$B$25:$H$390,7,FALSE)),""))</f>
        <v/>
      </c>
      <c r="P52" s="52"/>
      <c r="Q52" s="151" t="str">
        <f>IF(B52='!'!$GJ$15,'!'!$GJ$15,$Q$12)</f>
        <v>N</v>
      </c>
      <c r="S52" s="4" t="str">
        <f>IFERROR(ABS(T52),'!'!$GJ$15)</f>
        <v>N</v>
      </c>
      <c r="T52" s="84" t="str">
        <f>IFERROR(+G52-D52,'!'!$GJ$15)</f>
        <v>N</v>
      </c>
      <c r="U52" s="64" t="str">
        <f t="shared" si="1"/>
        <v>N</v>
      </c>
      <c r="W52" s="153" t="str">
        <f>IFERROR(I$10*I52,'!'!$GJ$15)</f>
        <v>N</v>
      </c>
      <c r="X52" s="153" t="str">
        <f>IFERROR(K$10*K52,'!'!$GJ$15)</f>
        <v>N</v>
      </c>
      <c r="Y52" s="153" t="str">
        <f>IFERROR(M$10*M52,'!'!$GJ$15)</f>
        <v>N</v>
      </c>
      <c r="Z52" s="153" t="str">
        <f>IFERROR(O$10*O53,'!'!$GJ$15)</f>
        <v>N</v>
      </c>
    </row>
    <row r="53" spans="1:26" x14ac:dyDescent="0.35">
      <c r="A53" s="4">
        <f t="shared" si="0"/>
        <v>29</v>
      </c>
      <c r="B53" s="286" t="str">
        <f>IFERROR(IF(Report!$D$4='!'!$HE$4,VLOOKUP(A53,Reference!$B$25:$H$390,2,FALSE),VLOOKUP(A53,Monitoring!$B$25:$H$390,2,FALSE)),'!'!$GJ$15)</f>
        <v>N</v>
      </c>
      <c r="C53" s="58" t="str">
        <f>Reference!A53</f>
        <v/>
      </c>
      <c r="D53" s="287" t="str">
        <f>IFERROR(IF(Report!$D$4='!'!$HE$4,VLOOKUP(A53,Reference!$B$25:$H$390,3,FALSE),VLOOKUP(A53,Monitoring!$B$25:$H$390,3,FALSE)),'!'!$GJ$15)</f>
        <v>N</v>
      </c>
      <c r="E53" s="150"/>
      <c r="F53" s="254"/>
      <c r="G53" s="151" t="str">
        <f>IF(D53='!'!$GJ$15,'!'!$GJ$15,(SUM(W53,X53,Y53,Z52,Q53)))</f>
        <v>N</v>
      </c>
      <c r="H53" s="52"/>
      <c r="I53" s="299" t="str">
        <f>IF($I$12="","",IFERROR(IF(Report!$D$4='!'!$HE$4,VLOOKUP(A53,Reference!$B$25:$H$390,4,FALSE),VLOOKUP(A53,Monitoring!$B$25:$H$390,4,FALSE)),""))</f>
        <v/>
      </c>
      <c r="J53" s="256"/>
      <c r="K53" s="299" t="str">
        <f>IF($K$12="","",IFERROR(IF(Report!$D$4='!'!$HE$4,VLOOKUP(A53,Reference!$B$25:$H$390,5,FALSE),VLOOKUP(A53,Monitoring!$B$25:$H$390,5,FALSE)),""))</f>
        <v/>
      </c>
      <c r="L53" s="256"/>
      <c r="M53" s="299" t="str">
        <f>IF($M$12="","",IFERROR(IF(Report!$D$4='!'!$HE$4,VLOOKUP(A53,Reference!$B$25:$H$390,6,FALSE),VLOOKUP(A53,Monitoring!$B$25:$H$390,6,FALSE)),""))</f>
        <v/>
      </c>
      <c r="N53" s="256"/>
      <c r="O53" s="299" t="str">
        <f>IF($O$12="","",IFERROR(IF(Report!$D$4='!'!$HE$4,VLOOKUP(A53,Reference!$B$25:$H$390,7,FALSE),VLOOKUP(A53,Monitoring!$B$25:$H$390,7,FALSE)),""))</f>
        <v/>
      </c>
      <c r="P53" s="52"/>
      <c r="Q53" s="151" t="str">
        <f>IF(B53='!'!$GJ$15,'!'!$GJ$15,$Q$12)</f>
        <v>N</v>
      </c>
      <c r="S53" s="4" t="str">
        <f>IFERROR(ABS(T53),'!'!$GJ$15)</f>
        <v>N</v>
      </c>
      <c r="T53" s="84" t="str">
        <f>IFERROR(+G53-D53,'!'!$GJ$15)</f>
        <v>N</v>
      </c>
      <c r="U53" s="64" t="str">
        <f t="shared" si="1"/>
        <v>N</v>
      </c>
      <c r="W53" s="153" t="str">
        <f>IFERROR(I$10*I53,'!'!$GJ$15)</f>
        <v>N</v>
      </c>
      <c r="X53" s="153" t="str">
        <f>IFERROR(K$10*K53,'!'!$GJ$15)</f>
        <v>N</v>
      </c>
      <c r="Y53" s="153" t="str">
        <f>IFERROR(M$10*M53,'!'!$GJ$15)</f>
        <v>N</v>
      </c>
      <c r="Z53" s="153" t="str">
        <f>IFERROR(O$10*O54,'!'!$GJ$15)</f>
        <v>N</v>
      </c>
    </row>
    <row r="54" spans="1:26" x14ac:dyDescent="0.35">
      <c r="A54" s="4">
        <f t="shared" si="0"/>
        <v>30</v>
      </c>
      <c r="B54" s="286" t="str">
        <f>IFERROR(IF(Report!$D$4='!'!$HE$4,VLOOKUP(A54,Reference!$B$25:$H$390,2,FALSE),VLOOKUP(A54,Monitoring!$B$25:$H$390,2,FALSE)),'!'!$GJ$15)</f>
        <v>N</v>
      </c>
      <c r="C54" s="58" t="str">
        <f>Reference!A54</f>
        <v/>
      </c>
      <c r="D54" s="287" t="str">
        <f>IFERROR(IF(Report!$D$4='!'!$HE$4,VLOOKUP(A54,Reference!$B$25:$H$390,3,FALSE),VLOOKUP(A54,Monitoring!$B$25:$H$390,3,FALSE)),'!'!$GJ$15)</f>
        <v>N</v>
      </c>
      <c r="E54" s="150"/>
      <c r="F54" s="254"/>
      <c r="G54" s="151" t="str">
        <f>IF(D54='!'!$GJ$15,'!'!$GJ$15,(SUM(W54,X54,Y54,Z53,Q54)))</f>
        <v>N</v>
      </c>
      <c r="H54" s="52"/>
      <c r="I54" s="299" t="str">
        <f>IF($I$12="","",IFERROR(IF(Report!$D$4='!'!$HE$4,VLOOKUP(A54,Reference!$B$25:$H$390,4,FALSE),VLOOKUP(A54,Monitoring!$B$25:$H$390,4,FALSE)),""))</f>
        <v/>
      </c>
      <c r="J54" s="256"/>
      <c r="K54" s="299" t="str">
        <f>IF($K$12="","",IFERROR(IF(Report!$D$4='!'!$HE$4,VLOOKUP(A54,Reference!$B$25:$H$390,5,FALSE),VLOOKUP(A54,Monitoring!$B$25:$H$390,5,FALSE)),""))</f>
        <v/>
      </c>
      <c r="L54" s="256"/>
      <c r="M54" s="299" t="str">
        <f>IF($M$12="","",IFERROR(IF(Report!$D$4='!'!$HE$4,VLOOKUP(A54,Reference!$B$25:$H$390,6,FALSE),VLOOKUP(A54,Monitoring!$B$25:$H$390,6,FALSE)),""))</f>
        <v/>
      </c>
      <c r="N54" s="256"/>
      <c r="O54" s="299" t="str">
        <f>IF($O$12="","",IFERROR(IF(Report!$D$4='!'!$HE$4,VLOOKUP(A54,Reference!$B$25:$H$390,7,FALSE),VLOOKUP(A54,Monitoring!$B$25:$H$390,7,FALSE)),""))</f>
        <v/>
      </c>
      <c r="P54" s="52"/>
      <c r="Q54" s="151" t="str">
        <f>IF(B54='!'!$GJ$15,'!'!$GJ$15,$Q$12)</f>
        <v>N</v>
      </c>
      <c r="S54" s="4" t="str">
        <f>IFERROR(ABS(T54),'!'!$GJ$15)</f>
        <v>N</v>
      </c>
      <c r="T54" s="84" t="str">
        <f>IFERROR(+G54-D54,'!'!$GJ$15)</f>
        <v>N</v>
      </c>
      <c r="U54" s="64" t="str">
        <f t="shared" si="1"/>
        <v>N</v>
      </c>
      <c r="W54" s="153" t="str">
        <f>IFERROR(I$10*I54,'!'!$GJ$15)</f>
        <v>N</v>
      </c>
      <c r="X54" s="153" t="str">
        <f>IFERROR(K$10*K54,'!'!$GJ$15)</f>
        <v>N</v>
      </c>
      <c r="Y54" s="153" t="str">
        <f>IFERROR(M$10*M54,'!'!$GJ$15)</f>
        <v>N</v>
      </c>
      <c r="Z54" s="153" t="str">
        <f>IFERROR(O$10*O55,'!'!$GJ$15)</f>
        <v>N</v>
      </c>
    </row>
    <row r="55" spans="1:26" x14ac:dyDescent="0.35">
      <c r="A55" s="4">
        <f t="shared" si="0"/>
        <v>31</v>
      </c>
      <c r="B55" s="286" t="str">
        <f>IFERROR(IF(Report!$D$4='!'!$HE$4,VLOOKUP(A55,Reference!$B$25:$H$390,2,FALSE),VLOOKUP(A55,Monitoring!$B$25:$H$390,2,FALSE)),'!'!$GJ$15)</f>
        <v>N</v>
      </c>
      <c r="C55" s="58" t="str">
        <f>Reference!A55</f>
        <v/>
      </c>
      <c r="D55" s="287" t="str">
        <f>IFERROR(IF(Report!$D$4='!'!$HE$4,VLOOKUP(A55,Reference!$B$25:$H$390,3,FALSE),VLOOKUP(A55,Monitoring!$B$25:$H$390,3,FALSE)),'!'!$GJ$15)</f>
        <v>N</v>
      </c>
      <c r="E55" s="150"/>
      <c r="F55" s="254"/>
      <c r="G55" s="151" t="str">
        <f>IF(D55='!'!$GJ$15,'!'!$GJ$15,(SUM(W55,X55,Y55,Z54,Q55)))</f>
        <v>N</v>
      </c>
      <c r="H55" s="52"/>
      <c r="I55" s="299" t="str">
        <f>IF($I$12="","",IFERROR(IF(Report!$D$4='!'!$HE$4,VLOOKUP(A55,Reference!$B$25:$H$390,4,FALSE),VLOOKUP(A55,Monitoring!$B$25:$H$390,4,FALSE)),""))</f>
        <v/>
      </c>
      <c r="J55" s="256"/>
      <c r="K55" s="299" t="str">
        <f>IF($K$12="","",IFERROR(IF(Report!$D$4='!'!$HE$4,VLOOKUP(A55,Reference!$B$25:$H$390,5,FALSE),VLOOKUP(A55,Monitoring!$B$25:$H$390,5,FALSE)),""))</f>
        <v/>
      </c>
      <c r="L55" s="256"/>
      <c r="M55" s="299" t="str">
        <f>IF($M$12="","",IFERROR(IF(Report!$D$4='!'!$HE$4,VLOOKUP(A55,Reference!$B$25:$H$390,6,FALSE),VLOOKUP(A55,Monitoring!$B$25:$H$390,6,FALSE)),""))</f>
        <v/>
      </c>
      <c r="N55" s="256"/>
      <c r="O55" s="299" t="str">
        <f>IF($O$12="","",IFERROR(IF(Report!$D$4='!'!$HE$4,VLOOKUP(A55,Reference!$B$25:$H$390,7,FALSE),VLOOKUP(A55,Monitoring!$B$25:$H$390,7,FALSE)),""))</f>
        <v/>
      </c>
      <c r="P55" s="52"/>
      <c r="Q55" s="151" t="str">
        <f>IF(B55='!'!$GJ$15,'!'!$GJ$15,$Q$12)</f>
        <v>N</v>
      </c>
      <c r="S55" s="4" t="str">
        <f>IFERROR(ABS(T55),'!'!$GJ$15)</f>
        <v>N</v>
      </c>
      <c r="T55" s="84" t="str">
        <f>IFERROR(+G55-D55,'!'!$GJ$15)</f>
        <v>N</v>
      </c>
      <c r="U55" s="64" t="str">
        <f t="shared" si="1"/>
        <v>N</v>
      </c>
      <c r="W55" s="153" t="str">
        <f>IFERROR(I$10*I55,'!'!$GJ$15)</f>
        <v>N</v>
      </c>
      <c r="X55" s="153" t="str">
        <f>IFERROR(K$10*K55,'!'!$GJ$15)</f>
        <v>N</v>
      </c>
      <c r="Y55" s="153" t="str">
        <f>IFERROR(M$10*M55,'!'!$GJ$15)</f>
        <v>N</v>
      </c>
      <c r="Z55" s="153" t="str">
        <f>IFERROR(O$10*O56,'!'!$GJ$15)</f>
        <v>N</v>
      </c>
    </row>
    <row r="56" spans="1:26" x14ac:dyDescent="0.35">
      <c r="A56" s="4">
        <f t="shared" si="0"/>
        <v>32</v>
      </c>
      <c r="B56" s="286" t="str">
        <f>IFERROR(IF(Report!$D$4='!'!$HE$4,VLOOKUP(A56,Reference!$B$25:$H$390,2,FALSE),VLOOKUP(A56,Monitoring!$B$25:$H$390,2,FALSE)),'!'!$GJ$15)</f>
        <v>N</v>
      </c>
      <c r="C56" s="58" t="str">
        <f>Reference!A56</f>
        <v/>
      </c>
      <c r="D56" s="287" t="str">
        <f>IFERROR(IF(Report!$D$4='!'!$HE$4,VLOOKUP(A56,Reference!$B$25:$H$390,3,FALSE),VLOOKUP(A56,Monitoring!$B$25:$H$390,3,FALSE)),'!'!$GJ$15)</f>
        <v>N</v>
      </c>
      <c r="E56" s="150"/>
      <c r="F56" s="254"/>
      <c r="G56" s="151" t="str">
        <f>IF(D56='!'!$GJ$15,'!'!$GJ$15,(SUM(W56,X56,Y56,Z55,Q56)))</f>
        <v>N</v>
      </c>
      <c r="H56" s="52"/>
      <c r="I56" s="299" t="str">
        <f>IF($I$12="","",IFERROR(IF(Report!$D$4='!'!$HE$4,VLOOKUP(A56,Reference!$B$25:$H$390,4,FALSE),VLOOKUP(A56,Monitoring!$B$25:$H$390,4,FALSE)),""))</f>
        <v/>
      </c>
      <c r="J56" s="256"/>
      <c r="K56" s="299" t="str">
        <f>IF($K$12="","",IFERROR(IF(Report!$D$4='!'!$HE$4,VLOOKUP(A56,Reference!$B$25:$H$390,5,FALSE),VLOOKUP(A56,Monitoring!$B$25:$H$390,5,FALSE)),""))</f>
        <v/>
      </c>
      <c r="L56" s="256"/>
      <c r="M56" s="299" t="str">
        <f>IF($M$12="","",IFERROR(IF(Report!$D$4='!'!$HE$4,VLOOKUP(A56,Reference!$B$25:$H$390,6,FALSE),VLOOKUP(A56,Monitoring!$B$25:$H$390,6,FALSE)),""))</f>
        <v/>
      </c>
      <c r="N56" s="256"/>
      <c r="O56" s="299" t="str">
        <f>IF($O$12="","",IFERROR(IF(Report!$D$4='!'!$HE$4,VLOOKUP(A56,Reference!$B$25:$H$390,7,FALSE),VLOOKUP(A56,Monitoring!$B$25:$H$390,7,FALSE)),""))</f>
        <v/>
      </c>
      <c r="P56" s="52"/>
      <c r="Q56" s="151" t="str">
        <f>IF(B56='!'!$GJ$15,'!'!$GJ$15,$Q$12)</f>
        <v>N</v>
      </c>
      <c r="S56" s="4" t="str">
        <f>IFERROR(ABS(T56),'!'!$GJ$15)</f>
        <v>N</v>
      </c>
      <c r="T56" s="84" t="str">
        <f>IFERROR(+G56-D56,'!'!$GJ$15)</f>
        <v>N</v>
      </c>
      <c r="U56" s="64" t="str">
        <f t="shared" si="1"/>
        <v>N</v>
      </c>
      <c r="W56" s="153" t="str">
        <f>IFERROR(I$10*I56,'!'!$GJ$15)</f>
        <v>N</v>
      </c>
      <c r="X56" s="153" t="str">
        <f>IFERROR(K$10*K56,'!'!$GJ$15)</f>
        <v>N</v>
      </c>
      <c r="Y56" s="153" t="str">
        <f>IFERROR(M$10*M56,'!'!$GJ$15)</f>
        <v>N</v>
      </c>
      <c r="Z56" s="153" t="str">
        <f>IFERROR(O$10*O57,'!'!$GJ$15)</f>
        <v>N</v>
      </c>
    </row>
    <row r="57" spans="1:26" x14ac:dyDescent="0.35">
      <c r="A57" s="4">
        <f t="shared" si="0"/>
        <v>33</v>
      </c>
      <c r="B57" s="286" t="str">
        <f>IFERROR(IF(Report!$D$4='!'!$HE$4,VLOOKUP(A57,Reference!$B$25:$H$390,2,FALSE),VLOOKUP(A57,Monitoring!$B$25:$H$390,2,FALSE)),'!'!$GJ$15)</f>
        <v>N</v>
      </c>
      <c r="C57" s="58" t="str">
        <f>Reference!A57</f>
        <v/>
      </c>
      <c r="D57" s="287" t="str">
        <f>IFERROR(IF(Report!$D$4='!'!$HE$4,VLOOKUP(A57,Reference!$B$25:$H$390,3,FALSE),VLOOKUP(A57,Monitoring!$B$25:$H$390,3,FALSE)),'!'!$GJ$15)</f>
        <v>N</v>
      </c>
      <c r="E57" s="150"/>
      <c r="F57" s="254"/>
      <c r="G57" s="151" t="str">
        <f>IF(D57='!'!$GJ$15,'!'!$GJ$15,(SUM(W57,X57,Y57,Z56,Q57)))</f>
        <v>N</v>
      </c>
      <c r="H57" s="52"/>
      <c r="I57" s="299" t="str">
        <f>IF($I$12="","",IFERROR(IF(Report!$D$4='!'!$HE$4,VLOOKUP(A57,Reference!$B$25:$H$390,4,FALSE),VLOOKUP(A57,Monitoring!$B$25:$H$390,4,FALSE)),""))</f>
        <v/>
      </c>
      <c r="J57" s="256"/>
      <c r="K57" s="299" t="str">
        <f>IF($K$12="","",IFERROR(IF(Report!$D$4='!'!$HE$4,VLOOKUP(A57,Reference!$B$25:$H$390,5,FALSE),VLOOKUP(A57,Monitoring!$B$25:$H$390,5,FALSE)),""))</f>
        <v/>
      </c>
      <c r="L57" s="256"/>
      <c r="M57" s="299" t="str">
        <f>IF($M$12="","",IFERROR(IF(Report!$D$4='!'!$HE$4,VLOOKUP(A57,Reference!$B$25:$H$390,6,FALSE),VLOOKUP(A57,Monitoring!$B$25:$H$390,6,FALSE)),""))</f>
        <v/>
      </c>
      <c r="N57" s="256"/>
      <c r="O57" s="299" t="str">
        <f>IF($O$12="","",IFERROR(IF(Report!$D$4='!'!$HE$4,VLOOKUP(A57,Reference!$B$25:$H$390,7,FALSE),VLOOKUP(A57,Monitoring!$B$25:$H$390,7,FALSE)),""))</f>
        <v/>
      </c>
      <c r="P57" s="52"/>
      <c r="Q57" s="151" t="str">
        <f>IF(B57='!'!$GJ$15,'!'!$GJ$15,$Q$12)</f>
        <v>N</v>
      </c>
      <c r="S57" s="4" t="str">
        <f>IFERROR(ABS(T57),'!'!$GJ$15)</f>
        <v>N</v>
      </c>
      <c r="T57" s="84" t="str">
        <f>IFERROR(+G57-D57,'!'!$GJ$15)</f>
        <v>N</v>
      </c>
      <c r="U57" s="64" t="str">
        <f t="shared" si="1"/>
        <v>N</v>
      </c>
      <c r="W57" s="153" t="str">
        <f>IFERROR(I$10*I57,'!'!$GJ$15)</f>
        <v>N</v>
      </c>
      <c r="X57" s="153" t="str">
        <f>IFERROR(K$10*K57,'!'!$GJ$15)</f>
        <v>N</v>
      </c>
      <c r="Y57" s="153" t="str">
        <f>IFERROR(M$10*M57,'!'!$GJ$15)</f>
        <v>N</v>
      </c>
      <c r="Z57" s="153" t="str">
        <f>IFERROR(O$10*O58,'!'!$GJ$15)</f>
        <v>N</v>
      </c>
    </row>
    <row r="58" spans="1:26" x14ac:dyDescent="0.35">
      <c r="A58" s="4">
        <f t="shared" si="0"/>
        <v>34</v>
      </c>
      <c r="B58" s="286" t="str">
        <f>IFERROR(IF(Report!$D$4='!'!$HE$4,VLOOKUP(A58,Reference!$B$25:$H$390,2,FALSE),VLOOKUP(A58,Monitoring!$B$25:$H$390,2,FALSE)),'!'!$GJ$15)</f>
        <v>N</v>
      </c>
      <c r="C58" s="58" t="str">
        <f>Reference!A58</f>
        <v/>
      </c>
      <c r="D58" s="287" t="str">
        <f>IFERROR(IF(Report!$D$4='!'!$HE$4,VLOOKUP(A58,Reference!$B$25:$H$390,3,FALSE),VLOOKUP(A58,Monitoring!$B$25:$H$390,3,FALSE)),'!'!$GJ$15)</f>
        <v>N</v>
      </c>
      <c r="E58" s="150"/>
      <c r="F58" s="254"/>
      <c r="G58" s="151" t="str">
        <f>IF(D58='!'!$GJ$15,'!'!$GJ$15,(SUM(W58,X58,Y58,Z57,Q58)))</f>
        <v>N</v>
      </c>
      <c r="H58" s="52"/>
      <c r="I58" s="299" t="str">
        <f>IF($I$12="","",IFERROR(IF(Report!$D$4='!'!$HE$4,VLOOKUP(A58,Reference!$B$25:$H$390,4,FALSE),VLOOKUP(A58,Monitoring!$B$25:$H$390,4,FALSE)),""))</f>
        <v/>
      </c>
      <c r="J58" s="256"/>
      <c r="K58" s="299" t="str">
        <f>IF($K$12="","",IFERROR(IF(Report!$D$4='!'!$HE$4,VLOOKUP(A58,Reference!$B$25:$H$390,5,FALSE),VLOOKUP(A58,Monitoring!$B$25:$H$390,5,FALSE)),""))</f>
        <v/>
      </c>
      <c r="L58" s="256"/>
      <c r="M58" s="299" t="str">
        <f>IF($M$12="","",IFERROR(IF(Report!$D$4='!'!$HE$4,VLOOKUP(A58,Reference!$B$25:$H$390,6,FALSE),VLOOKUP(A58,Monitoring!$B$25:$H$390,6,FALSE)),""))</f>
        <v/>
      </c>
      <c r="N58" s="256"/>
      <c r="O58" s="299" t="str">
        <f>IF($O$12="","",IFERROR(IF(Report!$D$4='!'!$HE$4,VLOOKUP(A58,Reference!$B$25:$H$390,7,FALSE),VLOOKUP(A58,Monitoring!$B$25:$H$390,7,FALSE)),""))</f>
        <v/>
      </c>
      <c r="P58" s="52"/>
      <c r="Q58" s="151" t="str">
        <f>IF(B58='!'!$GJ$15,'!'!$GJ$15,$Q$12)</f>
        <v>N</v>
      </c>
      <c r="S58" s="4" t="str">
        <f>IFERROR(ABS(T58),'!'!$GJ$15)</f>
        <v>N</v>
      </c>
      <c r="T58" s="84" t="str">
        <f>IFERROR(+G58-D58,'!'!$GJ$15)</f>
        <v>N</v>
      </c>
      <c r="U58" s="64" t="str">
        <f t="shared" si="1"/>
        <v>N</v>
      </c>
      <c r="W58" s="153" t="str">
        <f>IFERROR(I$10*I58,'!'!$GJ$15)</f>
        <v>N</v>
      </c>
      <c r="X58" s="153" t="str">
        <f>IFERROR(K$10*K58,'!'!$GJ$15)</f>
        <v>N</v>
      </c>
      <c r="Y58" s="153" t="str">
        <f>IFERROR(M$10*M58,'!'!$GJ$15)</f>
        <v>N</v>
      </c>
      <c r="Z58" s="153" t="str">
        <f>IFERROR(O$10*O59,'!'!$GJ$15)</f>
        <v>N</v>
      </c>
    </row>
    <row r="59" spans="1:26" x14ac:dyDescent="0.35">
      <c r="A59" s="4">
        <f t="shared" si="0"/>
        <v>35</v>
      </c>
      <c r="B59" s="286" t="str">
        <f>IFERROR(IF(Report!$D$4='!'!$HE$4,VLOOKUP(A59,Reference!$B$25:$H$390,2,FALSE),VLOOKUP(A59,Monitoring!$B$25:$H$390,2,FALSE)),'!'!$GJ$15)</f>
        <v>N</v>
      </c>
      <c r="C59" s="58" t="str">
        <f>Reference!A59</f>
        <v/>
      </c>
      <c r="D59" s="287" t="str">
        <f>IFERROR(IF(Report!$D$4='!'!$HE$4,VLOOKUP(A59,Reference!$B$25:$H$390,3,FALSE),VLOOKUP(A59,Monitoring!$B$25:$H$390,3,FALSE)),'!'!$GJ$15)</f>
        <v>N</v>
      </c>
      <c r="E59" s="150"/>
      <c r="F59" s="254"/>
      <c r="G59" s="151" t="str">
        <f>IF(D59='!'!$GJ$15,'!'!$GJ$15,(SUM(W59,X59,Y59,Z58,Q59)))</f>
        <v>N</v>
      </c>
      <c r="H59" s="52"/>
      <c r="I59" s="299" t="str">
        <f>IF($I$12="","",IFERROR(IF(Report!$D$4='!'!$HE$4,VLOOKUP(A59,Reference!$B$25:$H$390,4,FALSE),VLOOKUP(A59,Monitoring!$B$25:$H$390,4,FALSE)),""))</f>
        <v/>
      </c>
      <c r="J59" s="256"/>
      <c r="K59" s="299" t="str">
        <f>IF($K$12="","",IFERROR(IF(Report!$D$4='!'!$HE$4,VLOOKUP(A59,Reference!$B$25:$H$390,5,FALSE),VLOOKUP(A59,Monitoring!$B$25:$H$390,5,FALSE)),""))</f>
        <v/>
      </c>
      <c r="L59" s="256"/>
      <c r="M59" s="299" t="str">
        <f>IF($M$12="","",IFERROR(IF(Report!$D$4='!'!$HE$4,VLOOKUP(A59,Reference!$B$25:$H$390,6,FALSE),VLOOKUP(A59,Monitoring!$B$25:$H$390,6,FALSE)),""))</f>
        <v/>
      </c>
      <c r="N59" s="256"/>
      <c r="O59" s="299" t="str">
        <f>IF($O$12="","",IFERROR(IF(Report!$D$4='!'!$HE$4,VLOOKUP(A59,Reference!$B$25:$H$390,7,FALSE),VLOOKUP(A59,Monitoring!$B$25:$H$390,7,FALSE)),""))</f>
        <v/>
      </c>
      <c r="P59" s="52"/>
      <c r="Q59" s="151" t="str">
        <f>IF(B59='!'!$GJ$15,'!'!$GJ$15,$Q$12)</f>
        <v>N</v>
      </c>
      <c r="S59" s="4" t="str">
        <f>IFERROR(ABS(T59),'!'!$GJ$15)</f>
        <v>N</v>
      </c>
      <c r="T59" s="84" t="str">
        <f>IFERROR(+G59-D59,'!'!$GJ$15)</f>
        <v>N</v>
      </c>
      <c r="U59" s="64" t="str">
        <f t="shared" si="1"/>
        <v>N</v>
      </c>
      <c r="W59" s="153" t="str">
        <f>IFERROR(I$10*I59,'!'!$GJ$15)</f>
        <v>N</v>
      </c>
      <c r="X59" s="153" t="str">
        <f>IFERROR(K$10*K59,'!'!$GJ$15)</f>
        <v>N</v>
      </c>
      <c r="Y59" s="153" t="str">
        <f>IFERROR(M$10*M59,'!'!$GJ$15)</f>
        <v>N</v>
      </c>
      <c r="Z59" s="153" t="str">
        <f>IFERROR(O$10*O60,'!'!$GJ$15)</f>
        <v>N</v>
      </c>
    </row>
    <row r="60" spans="1:26" x14ac:dyDescent="0.35">
      <c r="A60" s="4">
        <f t="shared" si="0"/>
        <v>36</v>
      </c>
      <c r="B60" s="286" t="str">
        <f>IFERROR(IF(Report!$D$4='!'!$HE$4,VLOOKUP(A60,Reference!$B$25:$H$390,2,FALSE),VLOOKUP(A60,Monitoring!$B$25:$H$390,2,FALSE)),'!'!$GJ$15)</f>
        <v>N</v>
      </c>
      <c r="C60" s="58" t="str">
        <f>Reference!A60</f>
        <v/>
      </c>
      <c r="D60" s="287" t="str">
        <f>IFERROR(IF(Report!$D$4='!'!$HE$4,VLOOKUP(A60,Reference!$B$25:$H$390,3,FALSE),VLOOKUP(A60,Monitoring!$B$25:$H$390,3,FALSE)),'!'!$GJ$15)</f>
        <v>N</v>
      </c>
      <c r="E60" s="150"/>
      <c r="F60" s="254"/>
      <c r="G60" s="151" t="str">
        <f>IF(D60='!'!$GJ$15,'!'!$GJ$15,(SUM(W60,X60,Y60,Z59,Q60)))</f>
        <v>N</v>
      </c>
      <c r="H60" s="52"/>
      <c r="I60" s="299" t="str">
        <f>IF($I$12="","",IFERROR(IF(Report!$D$4='!'!$HE$4,VLOOKUP(A60,Reference!$B$25:$H$390,4,FALSE),VLOOKUP(A60,Monitoring!$B$25:$H$390,4,FALSE)),""))</f>
        <v/>
      </c>
      <c r="J60" s="256"/>
      <c r="K60" s="299" t="str">
        <f>IF($K$12="","",IFERROR(IF(Report!$D$4='!'!$HE$4,VLOOKUP(A60,Reference!$B$25:$H$390,5,FALSE),VLOOKUP(A60,Monitoring!$B$25:$H$390,5,FALSE)),""))</f>
        <v/>
      </c>
      <c r="L60" s="256"/>
      <c r="M60" s="299" t="str">
        <f>IF($M$12="","",IFERROR(IF(Report!$D$4='!'!$HE$4,VLOOKUP(A60,Reference!$B$25:$H$390,6,FALSE),VLOOKUP(A60,Monitoring!$B$25:$H$390,6,FALSE)),""))</f>
        <v/>
      </c>
      <c r="N60" s="256"/>
      <c r="O60" s="299" t="str">
        <f>IF($O$12="","",IFERROR(IF(Report!$D$4='!'!$HE$4,VLOOKUP(A60,Reference!$B$25:$H$390,7,FALSE),VLOOKUP(A60,Monitoring!$B$25:$H$390,7,FALSE)),""))</f>
        <v/>
      </c>
      <c r="P60" s="52"/>
      <c r="Q60" s="151" t="str">
        <f>IF(B60='!'!$GJ$15,'!'!$GJ$15,$Q$12)</f>
        <v>N</v>
      </c>
      <c r="S60" s="4" t="str">
        <f>IFERROR(ABS(T60),'!'!$GJ$15)</f>
        <v>N</v>
      </c>
      <c r="T60" s="84" t="str">
        <f>IFERROR(+G60-D60,'!'!$GJ$15)</f>
        <v>N</v>
      </c>
      <c r="U60" s="64" t="str">
        <f t="shared" si="1"/>
        <v>N</v>
      </c>
      <c r="W60" s="153" t="str">
        <f>IFERROR(I$10*I60,'!'!$GJ$15)</f>
        <v>N</v>
      </c>
      <c r="X60" s="153" t="str">
        <f>IFERROR(K$10*K60,'!'!$GJ$15)</f>
        <v>N</v>
      </c>
      <c r="Y60" s="153" t="str">
        <f>IFERROR(M$10*M60,'!'!$GJ$15)</f>
        <v>N</v>
      </c>
      <c r="Z60" s="153" t="str">
        <f>IFERROR(O$10*O61,'!'!$GJ$15)</f>
        <v>N</v>
      </c>
    </row>
    <row r="61" spans="1:26" x14ac:dyDescent="0.35">
      <c r="A61" s="4">
        <f t="shared" si="0"/>
        <v>37</v>
      </c>
      <c r="B61" s="286" t="str">
        <f>IFERROR(IF(Report!$D$4='!'!$HE$4,VLOOKUP(A61,Reference!$B$25:$H$390,2,FALSE),VLOOKUP(A61,Monitoring!$B$25:$H$390,2,FALSE)),'!'!$GJ$15)</f>
        <v>N</v>
      </c>
      <c r="C61" s="58" t="str">
        <f>Reference!A61</f>
        <v/>
      </c>
      <c r="D61" s="287" t="str">
        <f>IFERROR(IF(Report!$D$4='!'!$HE$4,VLOOKUP(A61,Reference!$B$25:$H$390,3,FALSE),VLOOKUP(A61,Monitoring!$B$25:$H$390,3,FALSE)),'!'!$GJ$15)</f>
        <v>N</v>
      </c>
      <c r="E61" s="150"/>
      <c r="F61" s="254"/>
      <c r="G61" s="151" t="str">
        <f>IF(D61='!'!$GJ$15,'!'!$GJ$15,(SUM(W61,X61,Y61,Z60,Q61)))</f>
        <v>N</v>
      </c>
      <c r="H61" s="52"/>
      <c r="I61" s="299" t="str">
        <f>IF($I$12="","",IFERROR(IF(Report!$D$4='!'!$HE$4,VLOOKUP(A61,Reference!$B$25:$H$390,4,FALSE),VLOOKUP(A61,Monitoring!$B$25:$H$390,4,FALSE)),""))</f>
        <v/>
      </c>
      <c r="J61" s="256"/>
      <c r="K61" s="299" t="str">
        <f>IF($K$12="","",IFERROR(IF(Report!$D$4='!'!$HE$4,VLOOKUP(A61,Reference!$B$25:$H$390,5,FALSE),VLOOKUP(A61,Monitoring!$B$25:$H$390,5,FALSE)),""))</f>
        <v/>
      </c>
      <c r="L61" s="256"/>
      <c r="M61" s="299" t="str">
        <f>IF($M$12="","",IFERROR(IF(Report!$D$4='!'!$HE$4,VLOOKUP(A61,Reference!$B$25:$H$390,6,FALSE),VLOOKUP(A61,Monitoring!$B$25:$H$390,6,FALSE)),""))</f>
        <v/>
      </c>
      <c r="N61" s="256"/>
      <c r="O61" s="299" t="str">
        <f>IF($O$12="","",IFERROR(IF(Report!$D$4='!'!$HE$4,VLOOKUP(A61,Reference!$B$25:$H$390,7,FALSE),VLOOKUP(A61,Monitoring!$B$25:$H$390,7,FALSE)),""))</f>
        <v/>
      </c>
      <c r="P61" s="52"/>
      <c r="Q61" s="151" t="str">
        <f>IF(B61='!'!$GJ$15,'!'!$GJ$15,$Q$12)</f>
        <v>N</v>
      </c>
      <c r="S61" s="4" t="str">
        <f>IFERROR(ABS(T61),'!'!$GJ$15)</f>
        <v>N</v>
      </c>
      <c r="T61" s="84" t="str">
        <f>IFERROR(+G61-D61,'!'!$GJ$15)</f>
        <v>N</v>
      </c>
      <c r="U61" s="64" t="str">
        <f t="shared" si="1"/>
        <v>N</v>
      </c>
      <c r="W61" s="153" t="str">
        <f>IFERROR(I$10*I61,'!'!$GJ$15)</f>
        <v>N</v>
      </c>
      <c r="X61" s="153" t="str">
        <f>IFERROR(K$10*K61,'!'!$GJ$15)</f>
        <v>N</v>
      </c>
      <c r="Y61" s="153" t="str">
        <f>IFERROR(M$10*M61,'!'!$GJ$15)</f>
        <v>N</v>
      </c>
      <c r="Z61" s="153" t="str">
        <f>IFERROR(O$10*O62,'!'!$GJ$15)</f>
        <v>N</v>
      </c>
    </row>
    <row r="62" spans="1:26" x14ac:dyDescent="0.35">
      <c r="A62" s="4">
        <f t="shared" si="0"/>
        <v>38</v>
      </c>
      <c r="B62" s="286" t="str">
        <f>IFERROR(IF(Report!$D$4='!'!$HE$4,VLOOKUP(A62,Reference!$B$25:$H$390,2,FALSE),VLOOKUP(A62,Monitoring!$B$25:$H$390,2,FALSE)),'!'!$GJ$15)</f>
        <v>N</v>
      </c>
      <c r="C62" s="58" t="str">
        <f>Reference!A62</f>
        <v/>
      </c>
      <c r="D62" s="287" t="str">
        <f>IFERROR(IF(Report!$D$4='!'!$HE$4,VLOOKUP(A62,Reference!$B$25:$H$390,3,FALSE),VLOOKUP(A62,Monitoring!$B$25:$H$390,3,FALSE)),'!'!$GJ$15)</f>
        <v>N</v>
      </c>
      <c r="E62" s="150"/>
      <c r="F62" s="254"/>
      <c r="G62" s="151" t="str">
        <f>IF(D62='!'!$GJ$15,'!'!$GJ$15,(SUM(W62,X62,Y62,Z61,Q62)))</f>
        <v>N</v>
      </c>
      <c r="H62" s="52"/>
      <c r="I62" s="299" t="str">
        <f>IF($I$12="","",IFERROR(IF(Report!$D$4='!'!$HE$4,VLOOKUP(A62,Reference!$B$25:$H$390,4,FALSE),VLOOKUP(A62,Monitoring!$B$25:$H$390,4,FALSE)),""))</f>
        <v/>
      </c>
      <c r="J62" s="256"/>
      <c r="K62" s="299" t="str">
        <f>IF($K$12="","",IFERROR(IF(Report!$D$4='!'!$HE$4,VLOOKUP(A62,Reference!$B$25:$H$390,5,FALSE),VLOOKUP(A62,Monitoring!$B$25:$H$390,5,FALSE)),""))</f>
        <v/>
      </c>
      <c r="L62" s="256"/>
      <c r="M62" s="299" t="str">
        <f>IF($M$12="","",IFERROR(IF(Report!$D$4='!'!$HE$4,VLOOKUP(A62,Reference!$B$25:$H$390,6,FALSE),VLOOKUP(A62,Monitoring!$B$25:$H$390,6,FALSE)),""))</f>
        <v/>
      </c>
      <c r="N62" s="256"/>
      <c r="O62" s="299" t="str">
        <f>IF($O$12="","",IFERROR(IF(Report!$D$4='!'!$HE$4,VLOOKUP(A62,Reference!$B$25:$H$390,7,FALSE),VLOOKUP(A62,Monitoring!$B$25:$H$390,7,FALSE)),""))</f>
        <v/>
      </c>
      <c r="P62" s="52"/>
      <c r="Q62" s="151" t="str">
        <f>IF(B62='!'!$GJ$15,'!'!$GJ$15,$Q$12)</f>
        <v>N</v>
      </c>
      <c r="S62" s="4" t="str">
        <f>IFERROR(ABS(T62),'!'!$GJ$15)</f>
        <v>N</v>
      </c>
      <c r="T62" s="84" t="str">
        <f>IFERROR(+G62-D62,'!'!$GJ$15)</f>
        <v>N</v>
      </c>
      <c r="U62" s="64" t="str">
        <f t="shared" si="1"/>
        <v>N</v>
      </c>
      <c r="W62" s="153" t="str">
        <f>IFERROR(I$10*I62,'!'!$GJ$15)</f>
        <v>N</v>
      </c>
      <c r="X62" s="153" t="str">
        <f>IFERROR(K$10*K62,'!'!$GJ$15)</f>
        <v>N</v>
      </c>
      <c r="Y62" s="153" t="str">
        <f>IFERROR(M$10*M62,'!'!$GJ$15)</f>
        <v>N</v>
      </c>
      <c r="Z62" s="153" t="str">
        <f>IFERROR(O$10*O63,'!'!$GJ$15)</f>
        <v>N</v>
      </c>
    </row>
    <row r="63" spans="1:26" x14ac:dyDescent="0.35">
      <c r="A63" s="4">
        <f t="shared" si="0"/>
        <v>39</v>
      </c>
      <c r="B63" s="286" t="str">
        <f>IFERROR(IF(Report!$D$4='!'!$HE$4,VLOOKUP(A63,Reference!$B$25:$H$390,2,FALSE),VLOOKUP(A63,Monitoring!$B$25:$H$390,2,FALSE)),'!'!$GJ$15)</f>
        <v>N</v>
      </c>
      <c r="C63" s="58" t="str">
        <f>Reference!A63</f>
        <v/>
      </c>
      <c r="D63" s="287" t="str">
        <f>IFERROR(IF(Report!$D$4='!'!$HE$4,VLOOKUP(A63,Reference!$B$25:$H$390,3,FALSE),VLOOKUP(A63,Monitoring!$B$25:$H$390,3,FALSE)),'!'!$GJ$15)</f>
        <v>N</v>
      </c>
      <c r="E63" s="150"/>
      <c r="F63" s="254"/>
      <c r="G63" s="151" t="str">
        <f>IF(D63='!'!$GJ$15,'!'!$GJ$15,(SUM(W63,X63,Y63,Z62,Q63)))</f>
        <v>N</v>
      </c>
      <c r="H63" s="52"/>
      <c r="I63" s="299" t="str">
        <f>IF($I$12="","",IFERROR(IF(Report!$D$4='!'!$HE$4,VLOOKUP(A63,Reference!$B$25:$H$390,4,FALSE),VLOOKUP(A63,Monitoring!$B$25:$H$390,4,FALSE)),""))</f>
        <v/>
      </c>
      <c r="J63" s="256"/>
      <c r="K63" s="299" t="str">
        <f>IF($K$12="","",IFERROR(IF(Report!$D$4='!'!$HE$4,VLOOKUP(A63,Reference!$B$25:$H$390,5,FALSE),VLOOKUP(A63,Monitoring!$B$25:$H$390,5,FALSE)),""))</f>
        <v/>
      </c>
      <c r="L63" s="256"/>
      <c r="M63" s="299" t="str">
        <f>IF($M$12="","",IFERROR(IF(Report!$D$4='!'!$HE$4,VLOOKUP(A63,Reference!$B$25:$H$390,6,FALSE),VLOOKUP(A63,Monitoring!$B$25:$H$390,6,FALSE)),""))</f>
        <v/>
      </c>
      <c r="N63" s="256"/>
      <c r="O63" s="299" t="str">
        <f>IF($O$12="","",IFERROR(IF(Report!$D$4='!'!$HE$4,VLOOKUP(A63,Reference!$B$25:$H$390,7,FALSE),VLOOKUP(A63,Monitoring!$B$25:$H$390,7,FALSE)),""))</f>
        <v/>
      </c>
      <c r="P63" s="52"/>
      <c r="Q63" s="151" t="str">
        <f>IF(B63='!'!$GJ$15,'!'!$GJ$15,$Q$12)</f>
        <v>N</v>
      </c>
      <c r="S63" s="4" t="str">
        <f>IFERROR(ABS(T63),'!'!$GJ$15)</f>
        <v>N</v>
      </c>
      <c r="T63" s="84" t="str">
        <f>IFERROR(+G63-D63,'!'!$GJ$15)</f>
        <v>N</v>
      </c>
      <c r="U63" s="64" t="str">
        <f t="shared" si="1"/>
        <v>N</v>
      </c>
      <c r="W63" s="153" t="str">
        <f>IFERROR(I$10*I63,'!'!$GJ$15)</f>
        <v>N</v>
      </c>
      <c r="X63" s="153" t="str">
        <f>IFERROR(K$10*K63,'!'!$GJ$15)</f>
        <v>N</v>
      </c>
      <c r="Y63" s="153" t="str">
        <f>IFERROR(M$10*M63,'!'!$GJ$15)</f>
        <v>N</v>
      </c>
      <c r="Z63" s="153" t="str">
        <f>IFERROR(O$10*O64,'!'!$GJ$15)</f>
        <v>N</v>
      </c>
    </row>
    <row r="64" spans="1:26" x14ac:dyDescent="0.35">
      <c r="A64" s="4">
        <f t="shared" si="0"/>
        <v>40</v>
      </c>
      <c r="B64" s="286" t="str">
        <f>IFERROR(IF(Report!$D$4='!'!$HE$4,VLOOKUP(A64,Reference!$B$25:$H$390,2,FALSE),VLOOKUP(A64,Monitoring!$B$25:$H$390,2,FALSE)),'!'!$GJ$15)</f>
        <v>N</v>
      </c>
      <c r="C64" s="58" t="str">
        <f>Reference!A64</f>
        <v/>
      </c>
      <c r="D64" s="287" t="str">
        <f>IFERROR(IF(Report!$D$4='!'!$HE$4,VLOOKUP(A64,Reference!$B$25:$H$390,3,FALSE),VLOOKUP(A64,Monitoring!$B$25:$H$390,3,FALSE)),'!'!$GJ$15)</f>
        <v>N</v>
      </c>
      <c r="E64" s="150"/>
      <c r="F64" s="254"/>
      <c r="G64" s="151" t="str">
        <f>IF(D64='!'!$GJ$15,'!'!$GJ$15,(SUM(W64,X64,Y64,Z63,Q64)))</f>
        <v>N</v>
      </c>
      <c r="H64" s="52"/>
      <c r="I64" s="299" t="str">
        <f>IF($I$12="","",IFERROR(IF(Report!$D$4='!'!$HE$4,VLOOKUP(A64,Reference!$B$25:$H$390,4,FALSE),VLOOKUP(A64,Monitoring!$B$25:$H$390,4,FALSE)),""))</f>
        <v/>
      </c>
      <c r="J64" s="256"/>
      <c r="K64" s="299" t="str">
        <f>IF($K$12="","",IFERROR(IF(Report!$D$4='!'!$HE$4,VLOOKUP(A64,Reference!$B$25:$H$390,5,FALSE),VLOOKUP(A64,Monitoring!$B$25:$H$390,5,FALSE)),""))</f>
        <v/>
      </c>
      <c r="L64" s="256"/>
      <c r="M64" s="299" t="str">
        <f>IF($M$12="","",IFERROR(IF(Report!$D$4='!'!$HE$4,VLOOKUP(A64,Reference!$B$25:$H$390,6,FALSE),VLOOKUP(A64,Monitoring!$B$25:$H$390,6,FALSE)),""))</f>
        <v/>
      </c>
      <c r="N64" s="256"/>
      <c r="O64" s="299" t="str">
        <f>IF($O$12="","",IFERROR(IF(Report!$D$4='!'!$HE$4,VLOOKUP(A64,Reference!$B$25:$H$390,7,FALSE),VLOOKUP(A64,Monitoring!$B$25:$H$390,7,FALSE)),""))</f>
        <v/>
      </c>
      <c r="P64" s="52"/>
      <c r="Q64" s="151" t="str">
        <f>IF(B64='!'!$GJ$15,'!'!$GJ$15,$Q$12)</f>
        <v>N</v>
      </c>
      <c r="S64" s="4" t="str">
        <f>IFERROR(ABS(T64),'!'!$GJ$15)</f>
        <v>N</v>
      </c>
      <c r="T64" s="84" t="str">
        <f>IFERROR(+G64-D64,'!'!$GJ$15)</f>
        <v>N</v>
      </c>
      <c r="U64" s="64" t="str">
        <f t="shared" si="1"/>
        <v>N</v>
      </c>
      <c r="W64" s="153" t="str">
        <f>IFERROR(I$10*I64,'!'!$GJ$15)</f>
        <v>N</v>
      </c>
      <c r="X64" s="153" t="str">
        <f>IFERROR(K$10*K64,'!'!$GJ$15)</f>
        <v>N</v>
      </c>
      <c r="Y64" s="153" t="str">
        <f>IFERROR(M$10*M64,'!'!$GJ$15)</f>
        <v>N</v>
      </c>
      <c r="Z64" s="153" t="str">
        <f>IFERROR(O$10*O65,'!'!$GJ$15)</f>
        <v>N</v>
      </c>
    </row>
    <row r="65" spans="1:26" x14ac:dyDescent="0.35">
      <c r="A65" s="4">
        <f t="shared" si="0"/>
        <v>41</v>
      </c>
      <c r="B65" s="286" t="str">
        <f>IFERROR(IF(Report!$D$4='!'!$HE$4,VLOOKUP(A65,Reference!$B$25:$H$390,2,FALSE),VLOOKUP(A65,Monitoring!$B$25:$H$390,2,FALSE)),'!'!$GJ$15)</f>
        <v>N</v>
      </c>
      <c r="C65" s="58" t="str">
        <f>Reference!A65</f>
        <v/>
      </c>
      <c r="D65" s="287" t="str">
        <f>IFERROR(IF(Report!$D$4='!'!$HE$4,VLOOKUP(A65,Reference!$B$25:$H$390,3,FALSE),VLOOKUP(A65,Monitoring!$B$25:$H$390,3,FALSE)),'!'!$GJ$15)</f>
        <v>N</v>
      </c>
      <c r="E65" s="150"/>
      <c r="F65" s="254"/>
      <c r="G65" s="151" t="str">
        <f>IF(D65='!'!$GJ$15,'!'!$GJ$15,(SUM(W65,X65,Y65,Z64,Q65)))</f>
        <v>N</v>
      </c>
      <c r="H65" s="52"/>
      <c r="I65" s="299" t="str">
        <f>IF($I$12="","",IFERROR(IF(Report!$D$4='!'!$HE$4,VLOOKUP(A65,Reference!$B$25:$H$390,4,FALSE),VLOOKUP(A65,Monitoring!$B$25:$H$390,4,FALSE)),""))</f>
        <v/>
      </c>
      <c r="J65" s="256"/>
      <c r="K65" s="299" t="str">
        <f>IF($K$12="","",IFERROR(IF(Report!$D$4='!'!$HE$4,VLOOKUP(A65,Reference!$B$25:$H$390,5,FALSE),VLOOKUP(A65,Monitoring!$B$25:$H$390,5,FALSE)),""))</f>
        <v/>
      </c>
      <c r="L65" s="256"/>
      <c r="M65" s="299" t="str">
        <f>IF($M$12="","",IFERROR(IF(Report!$D$4='!'!$HE$4,VLOOKUP(A65,Reference!$B$25:$H$390,6,FALSE),VLOOKUP(A65,Monitoring!$B$25:$H$390,6,FALSE)),""))</f>
        <v/>
      </c>
      <c r="N65" s="256"/>
      <c r="O65" s="299" t="str">
        <f>IF($O$12="","",IFERROR(IF(Report!$D$4='!'!$HE$4,VLOOKUP(A65,Reference!$B$25:$H$390,7,FALSE),VLOOKUP(A65,Monitoring!$B$25:$H$390,7,FALSE)),""))</f>
        <v/>
      </c>
      <c r="P65" s="52"/>
      <c r="Q65" s="151" t="str">
        <f>IF(B65='!'!$GJ$15,'!'!$GJ$15,$Q$12)</f>
        <v>N</v>
      </c>
      <c r="S65" s="4" t="str">
        <f>IFERROR(ABS(T65),'!'!$GJ$15)</f>
        <v>N</v>
      </c>
      <c r="T65" s="84" t="str">
        <f>IFERROR(+G65-D65,'!'!$GJ$15)</f>
        <v>N</v>
      </c>
      <c r="U65" s="64" t="str">
        <f t="shared" si="1"/>
        <v>N</v>
      </c>
      <c r="W65" s="153" t="str">
        <f>IFERROR(I$10*I65,'!'!$GJ$15)</f>
        <v>N</v>
      </c>
      <c r="X65" s="153" t="str">
        <f>IFERROR(K$10*K65,'!'!$GJ$15)</f>
        <v>N</v>
      </c>
      <c r="Y65" s="153" t="str">
        <f>IFERROR(M$10*M65,'!'!$GJ$15)</f>
        <v>N</v>
      </c>
      <c r="Z65" s="153" t="str">
        <f>IFERROR(O$10*O66,'!'!$GJ$15)</f>
        <v>N</v>
      </c>
    </row>
    <row r="66" spans="1:26" x14ac:dyDescent="0.35">
      <c r="A66" s="4">
        <f t="shared" si="0"/>
        <v>42</v>
      </c>
      <c r="B66" s="286" t="str">
        <f>IFERROR(IF(Report!$D$4='!'!$HE$4,VLOOKUP(A66,Reference!$B$25:$H$390,2,FALSE),VLOOKUP(A66,Monitoring!$B$25:$H$390,2,FALSE)),'!'!$GJ$15)</f>
        <v>N</v>
      </c>
      <c r="C66" s="58" t="str">
        <f>Reference!A66</f>
        <v/>
      </c>
      <c r="D66" s="287" t="str">
        <f>IFERROR(IF(Report!$D$4='!'!$HE$4,VLOOKUP(A66,Reference!$B$25:$H$390,3,FALSE),VLOOKUP(A66,Monitoring!$B$25:$H$390,3,FALSE)),'!'!$GJ$15)</f>
        <v>N</v>
      </c>
      <c r="E66" s="150"/>
      <c r="F66" s="254"/>
      <c r="G66" s="151" t="str">
        <f>IF(D66='!'!$GJ$15,'!'!$GJ$15,(SUM(W66,X66,Y66,Z65,Q66)))</f>
        <v>N</v>
      </c>
      <c r="H66" s="52"/>
      <c r="I66" s="299" t="str">
        <f>IF($I$12="","",IFERROR(IF(Report!$D$4='!'!$HE$4,VLOOKUP(A66,Reference!$B$25:$H$390,4,FALSE),VLOOKUP(A66,Monitoring!$B$25:$H$390,4,FALSE)),""))</f>
        <v/>
      </c>
      <c r="J66" s="256"/>
      <c r="K66" s="299" t="str">
        <f>IF($K$12="","",IFERROR(IF(Report!$D$4='!'!$HE$4,VLOOKUP(A66,Reference!$B$25:$H$390,5,FALSE),VLOOKUP(A66,Monitoring!$B$25:$H$390,5,FALSE)),""))</f>
        <v/>
      </c>
      <c r="L66" s="256"/>
      <c r="M66" s="299" t="str">
        <f>IF($M$12="","",IFERROR(IF(Report!$D$4='!'!$HE$4,VLOOKUP(A66,Reference!$B$25:$H$390,6,FALSE),VLOOKUP(A66,Monitoring!$B$25:$H$390,6,FALSE)),""))</f>
        <v/>
      </c>
      <c r="N66" s="256"/>
      <c r="O66" s="299" t="str">
        <f>IF($O$12="","",IFERROR(IF(Report!$D$4='!'!$HE$4,VLOOKUP(A66,Reference!$B$25:$H$390,7,FALSE),VLOOKUP(A66,Monitoring!$B$25:$H$390,7,FALSE)),""))</f>
        <v/>
      </c>
      <c r="P66" s="52"/>
      <c r="Q66" s="151" t="str">
        <f>IF(B66='!'!$GJ$15,'!'!$GJ$15,$Q$12)</f>
        <v>N</v>
      </c>
      <c r="S66" s="4" t="str">
        <f>IFERROR(ABS(T66),'!'!$GJ$15)</f>
        <v>N</v>
      </c>
      <c r="T66" s="84" t="str">
        <f>IFERROR(+G66-D66,'!'!$GJ$15)</f>
        <v>N</v>
      </c>
      <c r="U66" s="64" t="str">
        <f t="shared" si="1"/>
        <v>N</v>
      </c>
      <c r="W66" s="153" t="str">
        <f>IFERROR(I$10*I66,'!'!$GJ$15)</f>
        <v>N</v>
      </c>
      <c r="X66" s="153" t="str">
        <f>IFERROR(K$10*K66,'!'!$GJ$15)</f>
        <v>N</v>
      </c>
      <c r="Y66" s="153" t="str">
        <f>IFERROR(M$10*M66,'!'!$GJ$15)</f>
        <v>N</v>
      </c>
      <c r="Z66" s="153" t="str">
        <f>IFERROR(O$10*O67,'!'!$GJ$15)</f>
        <v>N</v>
      </c>
    </row>
    <row r="67" spans="1:26" x14ac:dyDescent="0.35">
      <c r="A67" s="4">
        <f t="shared" si="0"/>
        <v>43</v>
      </c>
      <c r="B67" s="286" t="str">
        <f>IFERROR(IF(Report!$D$4='!'!$HE$4,VLOOKUP(A67,Reference!$B$25:$H$390,2,FALSE),VLOOKUP(A67,Monitoring!$B$25:$H$390,2,FALSE)),'!'!$GJ$15)</f>
        <v>N</v>
      </c>
      <c r="C67" s="58" t="str">
        <f>Reference!A67</f>
        <v/>
      </c>
      <c r="D67" s="287" t="str">
        <f>IFERROR(IF(Report!$D$4='!'!$HE$4,VLOOKUP(A67,Reference!$B$25:$H$390,3,FALSE),VLOOKUP(A67,Monitoring!$B$25:$H$390,3,FALSE)),'!'!$GJ$15)</f>
        <v>N</v>
      </c>
      <c r="E67" s="150"/>
      <c r="F67" s="254"/>
      <c r="G67" s="151" t="str">
        <f>IF(D67='!'!$GJ$15,'!'!$GJ$15,(SUM(W67,X67,Y67,Z66,Q67)))</f>
        <v>N</v>
      </c>
      <c r="H67" s="52"/>
      <c r="I67" s="299" t="str">
        <f>IF($I$12="","",IFERROR(IF(Report!$D$4='!'!$HE$4,VLOOKUP(A67,Reference!$B$25:$H$390,4,FALSE),VLOOKUP(A67,Monitoring!$B$25:$H$390,4,FALSE)),""))</f>
        <v/>
      </c>
      <c r="J67" s="256"/>
      <c r="K67" s="299" t="str">
        <f>IF($K$12="","",IFERROR(IF(Report!$D$4='!'!$HE$4,VLOOKUP(A67,Reference!$B$25:$H$390,5,FALSE),VLOOKUP(A67,Monitoring!$B$25:$H$390,5,FALSE)),""))</f>
        <v/>
      </c>
      <c r="L67" s="256"/>
      <c r="M67" s="299" t="str">
        <f>IF($M$12="","",IFERROR(IF(Report!$D$4='!'!$HE$4,VLOOKUP(A67,Reference!$B$25:$H$390,6,FALSE),VLOOKUP(A67,Monitoring!$B$25:$H$390,6,FALSE)),""))</f>
        <v/>
      </c>
      <c r="N67" s="256"/>
      <c r="O67" s="299" t="str">
        <f>IF($O$12="","",IFERROR(IF(Report!$D$4='!'!$HE$4,VLOOKUP(A67,Reference!$B$25:$H$390,7,FALSE),VLOOKUP(A67,Monitoring!$B$25:$H$390,7,FALSE)),""))</f>
        <v/>
      </c>
      <c r="P67" s="52"/>
      <c r="Q67" s="151" t="str">
        <f>IF(B67='!'!$GJ$15,'!'!$GJ$15,$Q$12)</f>
        <v>N</v>
      </c>
      <c r="S67" s="4" t="str">
        <f>IFERROR(ABS(T67),'!'!$GJ$15)</f>
        <v>N</v>
      </c>
      <c r="T67" s="84" t="str">
        <f>IFERROR(+G67-D67,'!'!$GJ$15)</f>
        <v>N</v>
      </c>
      <c r="U67" s="64" t="str">
        <f t="shared" si="1"/>
        <v>N</v>
      </c>
      <c r="W67" s="153" t="str">
        <f>IFERROR(I$10*I67,'!'!$GJ$15)</f>
        <v>N</v>
      </c>
      <c r="X67" s="153" t="str">
        <f>IFERROR(K$10*K67,'!'!$GJ$15)</f>
        <v>N</v>
      </c>
      <c r="Y67" s="153" t="str">
        <f>IFERROR(M$10*M67,'!'!$GJ$15)</f>
        <v>N</v>
      </c>
      <c r="Z67" s="153" t="str">
        <f>IFERROR(O$10*O68,'!'!$GJ$15)</f>
        <v>N</v>
      </c>
    </row>
    <row r="68" spans="1:26" x14ac:dyDescent="0.35">
      <c r="A68" s="4">
        <f t="shared" si="0"/>
        <v>44</v>
      </c>
      <c r="B68" s="286" t="str">
        <f>IFERROR(IF(Report!$D$4='!'!$HE$4,VLOOKUP(A68,Reference!$B$25:$H$390,2,FALSE),VLOOKUP(A68,Monitoring!$B$25:$H$390,2,FALSE)),'!'!$GJ$15)</f>
        <v>N</v>
      </c>
      <c r="C68" s="58" t="str">
        <f>Reference!A68</f>
        <v/>
      </c>
      <c r="D68" s="287" t="str">
        <f>IFERROR(IF(Report!$D$4='!'!$HE$4,VLOOKUP(A68,Reference!$B$25:$H$390,3,FALSE),VLOOKUP(A68,Monitoring!$B$25:$H$390,3,FALSE)),'!'!$GJ$15)</f>
        <v>N</v>
      </c>
      <c r="E68" s="150"/>
      <c r="F68" s="254"/>
      <c r="G68" s="151" t="str">
        <f>IF(D68='!'!$GJ$15,'!'!$GJ$15,(SUM(W68,X68,Y68,Z67,Q68)))</f>
        <v>N</v>
      </c>
      <c r="H68" s="52"/>
      <c r="I68" s="299" t="str">
        <f>IF($I$12="","",IFERROR(IF(Report!$D$4='!'!$HE$4,VLOOKUP(A68,Reference!$B$25:$H$390,4,FALSE),VLOOKUP(A68,Monitoring!$B$25:$H$390,4,FALSE)),""))</f>
        <v/>
      </c>
      <c r="J68" s="256"/>
      <c r="K68" s="299" t="str">
        <f>IF($K$12="","",IFERROR(IF(Report!$D$4='!'!$HE$4,VLOOKUP(A68,Reference!$B$25:$H$390,5,FALSE),VLOOKUP(A68,Monitoring!$B$25:$H$390,5,FALSE)),""))</f>
        <v/>
      </c>
      <c r="L68" s="256"/>
      <c r="M68" s="299" t="str">
        <f>IF($M$12="","",IFERROR(IF(Report!$D$4='!'!$HE$4,VLOOKUP(A68,Reference!$B$25:$H$390,6,FALSE),VLOOKUP(A68,Monitoring!$B$25:$H$390,6,FALSE)),""))</f>
        <v/>
      </c>
      <c r="N68" s="256"/>
      <c r="O68" s="299" t="str">
        <f>IF($O$12="","",IFERROR(IF(Report!$D$4='!'!$HE$4,VLOOKUP(A68,Reference!$B$25:$H$390,7,FALSE),VLOOKUP(A68,Monitoring!$B$25:$H$390,7,FALSE)),""))</f>
        <v/>
      </c>
      <c r="P68" s="52"/>
      <c r="Q68" s="151" t="str">
        <f>IF(B68='!'!$GJ$15,'!'!$GJ$15,$Q$12)</f>
        <v>N</v>
      </c>
      <c r="S68" s="4" t="str">
        <f>IFERROR(ABS(T68),'!'!$GJ$15)</f>
        <v>N</v>
      </c>
      <c r="T68" s="84" t="str">
        <f>IFERROR(+G68-D68,'!'!$GJ$15)</f>
        <v>N</v>
      </c>
      <c r="U68" s="64" t="str">
        <f t="shared" si="1"/>
        <v>N</v>
      </c>
      <c r="W68" s="153" t="str">
        <f>IFERROR(I$10*I68,'!'!$GJ$15)</f>
        <v>N</v>
      </c>
      <c r="X68" s="153" t="str">
        <f>IFERROR(K$10*K68,'!'!$GJ$15)</f>
        <v>N</v>
      </c>
      <c r="Y68" s="153" t="str">
        <f>IFERROR(M$10*M68,'!'!$GJ$15)</f>
        <v>N</v>
      </c>
      <c r="Z68" s="153" t="str">
        <f>IFERROR(O$10*O69,'!'!$GJ$15)</f>
        <v>N</v>
      </c>
    </row>
    <row r="69" spans="1:26" x14ac:dyDescent="0.35">
      <c r="A69" s="4">
        <f t="shared" si="0"/>
        <v>45</v>
      </c>
      <c r="B69" s="286" t="str">
        <f>IFERROR(IF(Report!$D$4='!'!$HE$4,VLOOKUP(A69,Reference!$B$25:$H$390,2,FALSE),VLOOKUP(A69,Monitoring!$B$25:$H$390,2,FALSE)),'!'!$GJ$15)</f>
        <v>N</v>
      </c>
      <c r="C69" s="58" t="str">
        <f>Reference!A69</f>
        <v/>
      </c>
      <c r="D69" s="287" t="str">
        <f>IFERROR(IF(Report!$D$4='!'!$HE$4,VLOOKUP(A69,Reference!$B$25:$H$390,3,FALSE),VLOOKUP(A69,Monitoring!$B$25:$H$390,3,FALSE)),'!'!$GJ$15)</f>
        <v>N</v>
      </c>
      <c r="E69" s="150"/>
      <c r="F69" s="254"/>
      <c r="G69" s="151" t="str">
        <f>IF(D69='!'!$GJ$15,'!'!$GJ$15,(SUM(W69,X69,Y69,Z68,Q69)))</f>
        <v>N</v>
      </c>
      <c r="H69" s="52"/>
      <c r="I69" s="299" t="str">
        <f>IF($I$12="","",IFERROR(IF(Report!$D$4='!'!$HE$4,VLOOKUP(A69,Reference!$B$25:$H$390,4,FALSE),VLOOKUP(A69,Monitoring!$B$25:$H$390,4,FALSE)),""))</f>
        <v/>
      </c>
      <c r="J69" s="256"/>
      <c r="K69" s="299" t="str">
        <f>IF($K$12="","",IFERROR(IF(Report!$D$4='!'!$HE$4,VLOOKUP(A69,Reference!$B$25:$H$390,5,FALSE),VLOOKUP(A69,Monitoring!$B$25:$H$390,5,FALSE)),""))</f>
        <v/>
      </c>
      <c r="L69" s="256"/>
      <c r="M69" s="299" t="str">
        <f>IF($M$12="","",IFERROR(IF(Report!$D$4='!'!$HE$4,VLOOKUP(A69,Reference!$B$25:$H$390,6,FALSE),VLOOKUP(A69,Monitoring!$B$25:$H$390,6,FALSE)),""))</f>
        <v/>
      </c>
      <c r="N69" s="256"/>
      <c r="O69" s="299" t="str">
        <f>IF($O$12="","",IFERROR(IF(Report!$D$4='!'!$HE$4,VLOOKUP(A69,Reference!$B$25:$H$390,7,FALSE),VLOOKUP(A69,Monitoring!$B$25:$H$390,7,FALSE)),""))</f>
        <v/>
      </c>
      <c r="P69" s="52"/>
      <c r="Q69" s="151" t="str">
        <f>IF(B69='!'!$GJ$15,'!'!$GJ$15,$Q$12)</f>
        <v>N</v>
      </c>
      <c r="S69" s="4" t="str">
        <f>IFERROR(ABS(T69),'!'!$GJ$15)</f>
        <v>N</v>
      </c>
      <c r="T69" s="84" t="str">
        <f>IFERROR(+G69-D69,'!'!$GJ$15)</f>
        <v>N</v>
      </c>
      <c r="U69" s="64" t="str">
        <f t="shared" si="1"/>
        <v>N</v>
      </c>
      <c r="W69" s="153" t="str">
        <f>IFERROR(I$10*I69,'!'!$GJ$15)</f>
        <v>N</v>
      </c>
      <c r="X69" s="153" t="str">
        <f>IFERROR(K$10*K69,'!'!$GJ$15)</f>
        <v>N</v>
      </c>
      <c r="Y69" s="153" t="str">
        <f>IFERROR(M$10*M69,'!'!$GJ$15)</f>
        <v>N</v>
      </c>
      <c r="Z69" s="153" t="str">
        <f>IFERROR(O$10*O70,'!'!$GJ$15)</f>
        <v>N</v>
      </c>
    </row>
    <row r="70" spans="1:26" x14ac:dyDescent="0.35">
      <c r="A70" s="4">
        <f t="shared" si="0"/>
        <v>46</v>
      </c>
      <c r="B70" s="286" t="str">
        <f>IFERROR(IF(Report!$D$4='!'!$HE$4,VLOOKUP(A70,Reference!$B$25:$H$390,2,FALSE),VLOOKUP(A70,Monitoring!$B$25:$H$390,2,FALSE)),'!'!$GJ$15)</f>
        <v>N</v>
      </c>
      <c r="C70" s="58" t="str">
        <f>Reference!A70</f>
        <v/>
      </c>
      <c r="D70" s="287" t="str">
        <f>IFERROR(IF(Report!$D$4='!'!$HE$4,VLOOKUP(A70,Reference!$B$25:$H$390,3,FALSE),VLOOKUP(A70,Monitoring!$B$25:$H$390,3,FALSE)),'!'!$GJ$15)</f>
        <v>N</v>
      </c>
      <c r="E70" s="150"/>
      <c r="F70" s="254"/>
      <c r="G70" s="151" t="str">
        <f>IF(D70='!'!$GJ$15,'!'!$GJ$15,(SUM(W70,X70,Y70,Z69,Q70)))</f>
        <v>N</v>
      </c>
      <c r="H70" s="52"/>
      <c r="I70" s="299" t="str">
        <f>IF($I$12="","",IFERROR(IF(Report!$D$4='!'!$HE$4,VLOOKUP(A70,Reference!$B$25:$H$390,4,FALSE),VLOOKUP(A70,Monitoring!$B$25:$H$390,4,FALSE)),""))</f>
        <v/>
      </c>
      <c r="J70" s="256"/>
      <c r="K70" s="299" t="str">
        <f>IF($K$12="","",IFERROR(IF(Report!$D$4='!'!$HE$4,VLOOKUP(A70,Reference!$B$25:$H$390,5,FALSE),VLOOKUP(A70,Monitoring!$B$25:$H$390,5,FALSE)),""))</f>
        <v/>
      </c>
      <c r="L70" s="256"/>
      <c r="M70" s="299" t="str">
        <f>IF($M$12="","",IFERROR(IF(Report!$D$4='!'!$HE$4,VLOOKUP(A70,Reference!$B$25:$H$390,6,FALSE),VLOOKUP(A70,Monitoring!$B$25:$H$390,6,FALSE)),""))</f>
        <v/>
      </c>
      <c r="N70" s="256"/>
      <c r="O70" s="299" t="str">
        <f>IF($O$12="","",IFERROR(IF(Report!$D$4='!'!$HE$4,VLOOKUP(A70,Reference!$B$25:$H$390,7,FALSE),VLOOKUP(A70,Monitoring!$B$25:$H$390,7,FALSE)),""))</f>
        <v/>
      </c>
      <c r="P70" s="52"/>
      <c r="Q70" s="151" t="str">
        <f>IF(B70='!'!$GJ$15,'!'!$GJ$15,$Q$12)</f>
        <v>N</v>
      </c>
      <c r="S70" s="4" t="str">
        <f>IFERROR(ABS(T70),'!'!$GJ$15)</f>
        <v>N</v>
      </c>
      <c r="T70" s="84" t="str">
        <f>IFERROR(+G70-D70,'!'!$GJ$15)</f>
        <v>N</v>
      </c>
      <c r="U70" s="64" t="str">
        <f t="shared" si="1"/>
        <v>N</v>
      </c>
      <c r="W70" s="153" t="str">
        <f>IFERROR(I$10*I70,'!'!$GJ$15)</f>
        <v>N</v>
      </c>
      <c r="X70" s="153" t="str">
        <f>IFERROR(K$10*K70,'!'!$GJ$15)</f>
        <v>N</v>
      </c>
      <c r="Y70" s="153" t="str">
        <f>IFERROR(M$10*M70,'!'!$GJ$15)</f>
        <v>N</v>
      </c>
      <c r="Z70" s="153" t="str">
        <f>IFERROR(O$10*O71,'!'!$GJ$15)</f>
        <v>N</v>
      </c>
    </row>
    <row r="71" spans="1:26" x14ac:dyDescent="0.35">
      <c r="A71" s="4">
        <f t="shared" si="0"/>
        <v>47</v>
      </c>
      <c r="B71" s="286" t="str">
        <f>IFERROR(IF(Report!$D$4='!'!$HE$4,VLOOKUP(A71,Reference!$B$25:$H$390,2,FALSE),VLOOKUP(A71,Monitoring!$B$25:$H$390,2,FALSE)),'!'!$GJ$15)</f>
        <v>N</v>
      </c>
      <c r="C71" s="58" t="str">
        <f>Reference!A71</f>
        <v/>
      </c>
      <c r="D71" s="287" t="str">
        <f>IFERROR(IF(Report!$D$4='!'!$HE$4,VLOOKUP(A71,Reference!$B$25:$H$390,3,FALSE),VLOOKUP(A71,Monitoring!$B$25:$H$390,3,FALSE)),'!'!$GJ$15)</f>
        <v>N</v>
      </c>
      <c r="E71" s="150"/>
      <c r="F71" s="254"/>
      <c r="G71" s="151" t="str">
        <f>IF(D71='!'!$GJ$15,'!'!$GJ$15,(SUM(W71,X71,Y71,Z70,Q71)))</f>
        <v>N</v>
      </c>
      <c r="H71" s="52"/>
      <c r="I71" s="299" t="str">
        <f>IF($I$12="","",IFERROR(IF(Report!$D$4='!'!$HE$4,VLOOKUP(A71,Reference!$B$25:$H$390,4,FALSE),VLOOKUP(A71,Monitoring!$B$25:$H$390,4,FALSE)),""))</f>
        <v/>
      </c>
      <c r="J71" s="256"/>
      <c r="K71" s="299" t="str">
        <f>IF($K$12="","",IFERROR(IF(Report!$D$4='!'!$HE$4,VLOOKUP(A71,Reference!$B$25:$H$390,5,FALSE),VLOOKUP(A71,Monitoring!$B$25:$H$390,5,FALSE)),""))</f>
        <v/>
      </c>
      <c r="L71" s="256"/>
      <c r="M71" s="299" t="str">
        <f>IF($M$12="","",IFERROR(IF(Report!$D$4='!'!$HE$4,VLOOKUP(A71,Reference!$B$25:$H$390,6,FALSE),VLOOKUP(A71,Monitoring!$B$25:$H$390,6,FALSE)),""))</f>
        <v/>
      </c>
      <c r="N71" s="256"/>
      <c r="O71" s="299" t="str">
        <f>IF($O$12="","",IFERROR(IF(Report!$D$4='!'!$HE$4,VLOOKUP(A71,Reference!$B$25:$H$390,7,FALSE),VLOOKUP(A71,Monitoring!$B$25:$H$390,7,FALSE)),""))</f>
        <v/>
      </c>
      <c r="P71" s="52"/>
      <c r="Q71" s="151" t="str">
        <f>IF(B71='!'!$GJ$15,'!'!$GJ$15,$Q$12)</f>
        <v>N</v>
      </c>
      <c r="S71" s="4" t="str">
        <f>IFERROR(ABS(T71),'!'!$GJ$15)</f>
        <v>N</v>
      </c>
      <c r="T71" s="84" t="str">
        <f>IFERROR(+G71-D71,'!'!$GJ$15)</f>
        <v>N</v>
      </c>
      <c r="U71" s="64" t="str">
        <f t="shared" si="1"/>
        <v>N</v>
      </c>
      <c r="W71" s="153" t="str">
        <f>IFERROR(I$10*I71,'!'!$GJ$15)</f>
        <v>N</v>
      </c>
      <c r="X71" s="153" t="str">
        <f>IFERROR(K$10*K71,'!'!$GJ$15)</f>
        <v>N</v>
      </c>
      <c r="Y71" s="153" t="str">
        <f>IFERROR(M$10*M71,'!'!$GJ$15)</f>
        <v>N</v>
      </c>
      <c r="Z71" s="153" t="str">
        <f>IFERROR(O$10*O72,'!'!$GJ$15)</f>
        <v>N</v>
      </c>
    </row>
    <row r="72" spans="1:26" x14ac:dyDescent="0.35">
      <c r="A72" s="4">
        <f t="shared" si="0"/>
        <v>48</v>
      </c>
      <c r="B72" s="286" t="str">
        <f>IFERROR(IF(Report!$D$4='!'!$HE$4,VLOOKUP(A72,Reference!$B$25:$H$390,2,FALSE),VLOOKUP(A72,Monitoring!$B$25:$H$390,2,FALSE)),'!'!$GJ$15)</f>
        <v>N</v>
      </c>
      <c r="C72" s="58" t="str">
        <f>Reference!A72</f>
        <v/>
      </c>
      <c r="D72" s="287" t="str">
        <f>IFERROR(IF(Report!$D$4='!'!$HE$4,VLOOKUP(A72,Reference!$B$25:$H$390,3,FALSE),VLOOKUP(A72,Monitoring!$B$25:$H$390,3,FALSE)),'!'!$GJ$15)</f>
        <v>N</v>
      </c>
      <c r="E72" s="150"/>
      <c r="F72" s="254"/>
      <c r="G72" s="151" t="str">
        <f>IF(D72='!'!$GJ$15,'!'!$GJ$15,(SUM(W72,X72,Y72,Z71,Q72)))</f>
        <v>N</v>
      </c>
      <c r="H72" s="52"/>
      <c r="I72" s="299" t="str">
        <f>IF($I$12="","",IFERROR(IF(Report!$D$4='!'!$HE$4,VLOOKUP(A72,Reference!$B$25:$H$390,4,FALSE),VLOOKUP(A72,Monitoring!$B$25:$H$390,4,FALSE)),""))</f>
        <v/>
      </c>
      <c r="J72" s="256"/>
      <c r="K72" s="299" t="str">
        <f>IF($K$12="","",IFERROR(IF(Report!$D$4='!'!$HE$4,VLOOKUP(A72,Reference!$B$25:$H$390,5,FALSE),VLOOKUP(A72,Monitoring!$B$25:$H$390,5,FALSE)),""))</f>
        <v/>
      </c>
      <c r="L72" s="256"/>
      <c r="M72" s="299" t="str">
        <f>IF($M$12="","",IFERROR(IF(Report!$D$4='!'!$HE$4,VLOOKUP(A72,Reference!$B$25:$H$390,6,FALSE),VLOOKUP(A72,Monitoring!$B$25:$H$390,6,FALSE)),""))</f>
        <v/>
      </c>
      <c r="N72" s="256"/>
      <c r="O72" s="299" t="str">
        <f>IF($O$12="","",IFERROR(IF(Report!$D$4='!'!$HE$4,VLOOKUP(A72,Reference!$B$25:$H$390,7,FALSE),VLOOKUP(A72,Monitoring!$B$25:$H$390,7,FALSE)),""))</f>
        <v/>
      </c>
      <c r="P72" s="52"/>
      <c r="Q72" s="151" t="str">
        <f>IF(B72='!'!$GJ$15,'!'!$GJ$15,$Q$12)</f>
        <v>N</v>
      </c>
      <c r="S72" s="4" t="str">
        <f>IFERROR(ABS(T72),'!'!$GJ$15)</f>
        <v>N</v>
      </c>
      <c r="T72" s="84" t="str">
        <f>IFERROR(+G72-D72,'!'!$GJ$15)</f>
        <v>N</v>
      </c>
      <c r="U72" s="64" t="str">
        <f t="shared" si="1"/>
        <v>N</v>
      </c>
      <c r="W72" s="153" t="str">
        <f>IFERROR(I$10*I72,'!'!$GJ$15)</f>
        <v>N</v>
      </c>
      <c r="X72" s="153" t="str">
        <f>IFERROR(K$10*K72,'!'!$GJ$15)</f>
        <v>N</v>
      </c>
      <c r="Y72" s="153" t="str">
        <f>IFERROR(M$10*M72,'!'!$GJ$15)</f>
        <v>N</v>
      </c>
      <c r="Z72" s="153" t="str">
        <f>IFERROR(O$10*O73,'!'!$GJ$15)</f>
        <v>N</v>
      </c>
    </row>
    <row r="73" spans="1:26" x14ac:dyDescent="0.35">
      <c r="A73" s="4">
        <f t="shared" si="0"/>
        <v>49</v>
      </c>
      <c r="B73" s="286" t="str">
        <f>IFERROR(IF(Report!$D$4='!'!$HE$4,VLOOKUP(A73,Reference!$B$25:$H$390,2,FALSE),VLOOKUP(A73,Monitoring!$B$25:$H$390,2,FALSE)),'!'!$GJ$15)</f>
        <v>N</v>
      </c>
      <c r="C73" s="58" t="str">
        <f>Reference!A73</f>
        <v/>
      </c>
      <c r="D73" s="287" t="str">
        <f>IFERROR(IF(Report!$D$4='!'!$HE$4,VLOOKUP(A73,Reference!$B$25:$H$390,3,FALSE),VLOOKUP(A73,Monitoring!$B$25:$H$390,3,FALSE)),'!'!$GJ$15)</f>
        <v>N</v>
      </c>
      <c r="E73" s="150"/>
      <c r="F73" s="254"/>
      <c r="G73" s="151" t="str">
        <f>IF(D73='!'!$GJ$15,'!'!$GJ$15,(SUM(W73,X73,Y73,Z72,Q73)))</f>
        <v>N</v>
      </c>
      <c r="H73" s="52"/>
      <c r="I73" s="299" t="str">
        <f>IF($I$12="","",IFERROR(IF(Report!$D$4='!'!$HE$4,VLOOKUP(A73,Reference!$B$25:$H$390,4,FALSE),VLOOKUP(A73,Monitoring!$B$25:$H$390,4,FALSE)),""))</f>
        <v/>
      </c>
      <c r="J73" s="256"/>
      <c r="K73" s="299" t="str">
        <f>IF($K$12="","",IFERROR(IF(Report!$D$4='!'!$HE$4,VLOOKUP(A73,Reference!$B$25:$H$390,5,FALSE),VLOOKUP(A73,Monitoring!$B$25:$H$390,5,FALSE)),""))</f>
        <v/>
      </c>
      <c r="L73" s="256"/>
      <c r="M73" s="299" t="str">
        <f>IF($M$12="","",IFERROR(IF(Report!$D$4='!'!$HE$4,VLOOKUP(A73,Reference!$B$25:$H$390,6,FALSE),VLOOKUP(A73,Monitoring!$B$25:$H$390,6,FALSE)),""))</f>
        <v/>
      </c>
      <c r="N73" s="256"/>
      <c r="O73" s="299" t="str">
        <f>IF($O$12="","",IFERROR(IF(Report!$D$4='!'!$HE$4,VLOOKUP(A73,Reference!$B$25:$H$390,7,FALSE),VLOOKUP(A73,Monitoring!$B$25:$H$390,7,FALSE)),""))</f>
        <v/>
      </c>
      <c r="P73" s="52"/>
      <c r="Q73" s="151" t="str">
        <f>IF(B73='!'!$GJ$15,'!'!$GJ$15,$Q$12)</f>
        <v>N</v>
      </c>
      <c r="S73" s="4" t="str">
        <f>IFERROR(ABS(T73),'!'!$GJ$15)</f>
        <v>N</v>
      </c>
      <c r="T73" s="84" t="str">
        <f>IFERROR(+G73-D73,'!'!$GJ$15)</f>
        <v>N</v>
      </c>
      <c r="U73" s="64" t="str">
        <f t="shared" si="1"/>
        <v>N</v>
      </c>
      <c r="W73" s="153" t="str">
        <f>IFERROR(I$10*I73,'!'!$GJ$15)</f>
        <v>N</v>
      </c>
      <c r="X73" s="153" t="str">
        <f>IFERROR(K$10*K73,'!'!$GJ$15)</f>
        <v>N</v>
      </c>
      <c r="Y73" s="153" t="str">
        <f>IFERROR(M$10*M73,'!'!$GJ$15)</f>
        <v>N</v>
      </c>
      <c r="Z73" s="153" t="str">
        <f>IFERROR(O$10*O74,'!'!$GJ$15)</f>
        <v>N</v>
      </c>
    </row>
    <row r="74" spans="1:26" x14ac:dyDescent="0.35">
      <c r="A74" s="4">
        <f t="shared" si="0"/>
        <v>50</v>
      </c>
      <c r="B74" s="286" t="str">
        <f>IFERROR(IF(Report!$D$4='!'!$HE$4,VLOOKUP(A74,Reference!$B$25:$H$390,2,FALSE),VLOOKUP(A74,Monitoring!$B$25:$H$390,2,FALSE)),'!'!$GJ$15)</f>
        <v>N</v>
      </c>
      <c r="C74" s="58" t="str">
        <f>Reference!A74</f>
        <v/>
      </c>
      <c r="D74" s="287" t="str">
        <f>IFERROR(IF(Report!$D$4='!'!$HE$4,VLOOKUP(A74,Reference!$B$25:$H$390,3,FALSE),VLOOKUP(A74,Monitoring!$B$25:$H$390,3,FALSE)),'!'!$GJ$15)</f>
        <v>N</v>
      </c>
      <c r="E74" s="150"/>
      <c r="F74" s="254"/>
      <c r="G74" s="151" t="str">
        <f>IF(D74='!'!$GJ$15,'!'!$GJ$15,(SUM(W74,X74,Y74,Z73,Q74)))</f>
        <v>N</v>
      </c>
      <c r="H74" s="52"/>
      <c r="I74" s="299" t="str">
        <f>IF($I$12="","",IFERROR(IF(Report!$D$4='!'!$HE$4,VLOOKUP(A74,Reference!$B$25:$H$390,4,FALSE),VLOOKUP(A74,Monitoring!$B$25:$H$390,4,FALSE)),""))</f>
        <v/>
      </c>
      <c r="J74" s="256"/>
      <c r="K74" s="299" t="str">
        <f>IF($K$12="","",IFERROR(IF(Report!$D$4='!'!$HE$4,VLOOKUP(A74,Reference!$B$25:$H$390,5,FALSE),VLOOKUP(A74,Monitoring!$B$25:$H$390,5,FALSE)),""))</f>
        <v/>
      </c>
      <c r="L74" s="256"/>
      <c r="M74" s="299" t="str">
        <f>IF($M$12="","",IFERROR(IF(Report!$D$4='!'!$HE$4,VLOOKUP(A74,Reference!$B$25:$H$390,6,FALSE),VLOOKUP(A74,Monitoring!$B$25:$H$390,6,FALSE)),""))</f>
        <v/>
      </c>
      <c r="N74" s="256"/>
      <c r="O74" s="299" t="str">
        <f>IF($O$12="","",IFERROR(IF(Report!$D$4='!'!$HE$4,VLOOKUP(A74,Reference!$B$25:$H$390,7,FALSE),VLOOKUP(A74,Monitoring!$B$25:$H$390,7,FALSE)),""))</f>
        <v/>
      </c>
      <c r="P74" s="52"/>
      <c r="Q74" s="151" t="str">
        <f>IF(B74='!'!$GJ$15,'!'!$GJ$15,$Q$12)</f>
        <v>N</v>
      </c>
      <c r="S74" s="4" t="str">
        <f>IFERROR(ABS(T74),'!'!$GJ$15)</f>
        <v>N</v>
      </c>
      <c r="T74" s="84" t="str">
        <f>IFERROR(+G74-D74,'!'!$GJ$15)</f>
        <v>N</v>
      </c>
      <c r="U74" s="64" t="str">
        <f t="shared" si="1"/>
        <v>N</v>
      </c>
      <c r="W74" s="153" t="str">
        <f>IFERROR(I$10*I74,'!'!$GJ$15)</f>
        <v>N</v>
      </c>
      <c r="X74" s="153" t="str">
        <f>IFERROR(K$10*K74,'!'!$GJ$15)</f>
        <v>N</v>
      </c>
      <c r="Y74" s="153" t="str">
        <f>IFERROR(M$10*M74,'!'!$GJ$15)</f>
        <v>N</v>
      </c>
      <c r="Z74" s="153" t="str">
        <f>IFERROR(O$10*O75,'!'!$GJ$15)</f>
        <v>N</v>
      </c>
    </row>
    <row r="75" spans="1:26" x14ac:dyDescent="0.35">
      <c r="A75" s="4">
        <f t="shared" si="0"/>
        <v>51</v>
      </c>
      <c r="B75" s="286" t="str">
        <f>IFERROR(IF(Report!$D$4='!'!$HE$4,VLOOKUP(A75,Reference!$B$25:$H$390,2,FALSE),VLOOKUP(A75,Monitoring!$B$25:$H$390,2,FALSE)),'!'!$GJ$15)</f>
        <v>N</v>
      </c>
      <c r="C75" s="58" t="str">
        <f>Reference!A75</f>
        <v/>
      </c>
      <c r="D75" s="287" t="str">
        <f>IFERROR(IF(Report!$D$4='!'!$HE$4,VLOOKUP(A75,Reference!$B$25:$H$390,3,FALSE),VLOOKUP(A75,Monitoring!$B$25:$H$390,3,FALSE)),'!'!$GJ$15)</f>
        <v>N</v>
      </c>
      <c r="E75" s="150"/>
      <c r="F75" s="254"/>
      <c r="G75" s="151" t="str">
        <f>IF(D75='!'!$GJ$15,'!'!$GJ$15,(SUM(W75,X75,Y75,Z74,Q75)))</f>
        <v>N</v>
      </c>
      <c r="H75" s="52"/>
      <c r="I75" s="299" t="str">
        <f>IF($I$12="","",IFERROR(IF(Report!$D$4='!'!$HE$4,VLOOKUP(A75,Reference!$B$25:$H$390,4,FALSE),VLOOKUP(A75,Monitoring!$B$25:$H$390,4,FALSE)),""))</f>
        <v/>
      </c>
      <c r="J75" s="256"/>
      <c r="K75" s="299" t="str">
        <f>IF($K$12="","",IFERROR(IF(Report!$D$4='!'!$HE$4,VLOOKUP(A75,Reference!$B$25:$H$390,5,FALSE),VLOOKUP(A75,Monitoring!$B$25:$H$390,5,FALSE)),""))</f>
        <v/>
      </c>
      <c r="L75" s="256"/>
      <c r="M75" s="299" t="str">
        <f>IF($M$12="","",IFERROR(IF(Report!$D$4='!'!$HE$4,VLOOKUP(A75,Reference!$B$25:$H$390,6,FALSE),VLOOKUP(A75,Monitoring!$B$25:$H$390,6,FALSE)),""))</f>
        <v/>
      </c>
      <c r="N75" s="256"/>
      <c r="O75" s="299" t="str">
        <f>IF($O$12="","",IFERROR(IF(Report!$D$4='!'!$HE$4,VLOOKUP(A75,Reference!$B$25:$H$390,7,FALSE),VLOOKUP(A75,Monitoring!$B$25:$H$390,7,FALSE)),""))</f>
        <v/>
      </c>
      <c r="P75" s="52"/>
      <c r="Q75" s="151" t="str">
        <f>IF(B75='!'!$GJ$15,'!'!$GJ$15,$Q$12)</f>
        <v>N</v>
      </c>
      <c r="S75" s="4" t="str">
        <f>IFERROR(ABS(T75),'!'!$GJ$15)</f>
        <v>N</v>
      </c>
      <c r="T75" s="84" t="str">
        <f>IFERROR(+G75-D75,'!'!$GJ$15)</f>
        <v>N</v>
      </c>
      <c r="U75" s="64" t="str">
        <f t="shared" si="1"/>
        <v>N</v>
      </c>
      <c r="W75" s="153" t="str">
        <f>IFERROR(I$10*I75,'!'!$GJ$15)</f>
        <v>N</v>
      </c>
      <c r="X75" s="153" t="str">
        <f>IFERROR(K$10*K75,'!'!$GJ$15)</f>
        <v>N</v>
      </c>
      <c r="Y75" s="153" t="str">
        <f>IFERROR(M$10*M75,'!'!$GJ$15)</f>
        <v>N</v>
      </c>
      <c r="Z75" s="153" t="str">
        <f>IFERROR(O$10*O76,'!'!$GJ$15)</f>
        <v>N</v>
      </c>
    </row>
    <row r="76" spans="1:26" x14ac:dyDescent="0.35">
      <c r="A76" s="4">
        <f t="shared" si="0"/>
        <v>52</v>
      </c>
      <c r="B76" s="286" t="str">
        <f>IFERROR(IF(Report!$D$4='!'!$HE$4,VLOOKUP(A76,Reference!$B$25:$H$390,2,FALSE),VLOOKUP(A76,Monitoring!$B$25:$H$390,2,FALSE)),'!'!$GJ$15)</f>
        <v>N</v>
      </c>
      <c r="C76" s="58" t="str">
        <f>Reference!A76</f>
        <v/>
      </c>
      <c r="D76" s="287" t="str">
        <f>IFERROR(IF(Report!$D$4='!'!$HE$4,VLOOKUP(A76,Reference!$B$25:$H$390,3,FALSE),VLOOKUP(A76,Monitoring!$B$25:$H$390,3,FALSE)),'!'!$GJ$15)</f>
        <v>N</v>
      </c>
      <c r="E76" s="150"/>
      <c r="F76" s="254"/>
      <c r="G76" s="151" t="str">
        <f>IF(D76='!'!$GJ$15,'!'!$GJ$15,(SUM(W76,X76,Y76,Z75,Q76)))</f>
        <v>N</v>
      </c>
      <c r="H76" s="52"/>
      <c r="I76" s="299" t="str">
        <f>IF($I$12="","",IFERROR(IF(Report!$D$4='!'!$HE$4,VLOOKUP(A76,Reference!$B$25:$H$390,4,FALSE),VLOOKUP(A76,Monitoring!$B$25:$H$390,4,FALSE)),""))</f>
        <v/>
      </c>
      <c r="J76" s="256"/>
      <c r="K76" s="299" t="str">
        <f>IF($K$12="","",IFERROR(IF(Report!$D$4='!'!$HE$4,VLOOKUP(A76,Reference!$B$25:$H$390,5,FALSE),VLOOKUP(A76,Monitoring!$B$25:$H$390,5,FALSE)),""))</f>
        <v/>
      </c>
      <c r="L76" s="256"/>
      <c r="M76" s="299" t="str">
        <f>IF($M$12="","",IFERROR(IF(Report!$D$4='!'!$HE$4,VLOOKUP(A76,Reference!$B$25:$H$390,6,FALSE),VLOOKUP(A76,Monitoring!$B$25:$H$390,6,FALSE)),""))</f>
        <v/>
      </c>
      <c r="N76" s="256"/>
      <c r="O76" s="299" t="str">
        <f>IF($O$12="","",IFERROR(IF(Report!$D$4='!'!$HE$4,VLOOKUP(A76,Reference!$B$25:$H$390,7,FALSE),VLOOKUP(A76,Monitoring!$B$25:$H$390,7,FALSE)),""))</f>
        <v/>
      </c>
      <c r="P76" s="52"/>
      <c r="Q76" s="151" t="str">
        <f>IF(B76='!'!$GJ$15,'!'!$GJ$15,$Q$12)</f>
        <v>N</v>
      </c>
      <c r="S76" s="4" t="str">
        <f>IFERROR(ABS(T76),'!'!$GJ$15)</f>
        <v>N</v>
      </c>
      <c r="T76" s="84" t="str">
        <f>IFERROR(+G76-D76,'!'!$GJ$15)</f>
        <v>N</v>
      </c>
      <c r="U76" s="64" t="str">
        <f t="shared" si="1"/>
        <v>N</v>
      </c>
      <c r="W76" s="153" t="str">
        <f>IFERROR(I$10*I76,'!'!$GJ$15)</f>
        <v>N</v>
      </c>
      <c r="X76" s="153" t="str">
        <f>IFERROR(K$10*K76,'!'!$GJ$15)</f>
        <v>N</v>
      </c>
      <c r="Y76" s="153" t="str">
        <f>IFERROR(M$10*M76,'!'!$GJ$15)</f>
        <v>N</v>
      </c>
      <c r="Z76" s="153" t="str">
        <f>IFERROR(O$10*O77,'!'!$GJ$15)</f>
        <v>N</v>
      </c>
    </row>
    <row r="77" spans="1:26" x14ac:dyDescent="0.35">
      <c r="A77" s="4">
        <f t="shared" si="0"/>
        <v>53</v>
      </c>
      <c r="B77" s="286" t="str">
        <f>IFERROR(IF(Report!$D$4='!'!$HE$4,VLOOKUP(A77,Reference!$B$25:$H$390,2,FALSE),VLOOKUP(A77,Monitoring!$B$25:$H$390,2,FALSE)),'!'!$GJ$15)</f>
        <v>N</v>
      </c>
      <c r="C77" s="58" t="str">
        <f>Reference!A77</f>
        <v/>
      </c>
      <c r="D77" s="287" t="str">
        <f>IFERROR(IF(Report!$D$4='!'!$HE$4,VLOOKUP(A77,Reference!$B$25:$H$390,3,FALSE),VLOOKUP(A77,Monitoring!$B$25:$H$390,3,FALSE)),'!'!$GJ$15)</f>
        <v>N</v>
      </c>
      <c r="E77" s="150"/>
      <c r="F77" s="254"/>
      <c r="G77" s="151" t="str">
        <f>IF(D77='!'!$GJ$15,'!'!$GJ$15,(SUM(W77,X77,Y77,Z76,Q77)))</f>
        <v>N</v>
      </c>
      <c r="H77" s="52"/>
      <c r="I77" s="299" t="str">
        <f>IF($I$12="","",IFERROR(IF(Report!$D$4='!'!$HE$4,VLOOKUP(A77,Reference!$B$25:$H$390,4,FALSE),VLOOKUP(A77,Monitoring!$B$25:$H$390,4,FALSE)),""))</f>
        <v/>
      </c>
      <c r="J77" s="256"/>
      <c r="K77" s="299" t="str">
        <f>IF($K$12="","",IFERROR(IF(Report!$D$4='!'!$HE$4,VLOOKUP(A77,Reference!$B$25:$H$390,5,FALSE),VLOOKUP(A77,Monitoring!$B$25:$H$390,5,FALSE)),""))</f>
        <v/>
      </c>
      <c r="L77" s="256"/>
      <c r="M77" s="299" t="str">
        <f>IF($M$12="","",IFERROR(IF(Report!$D$4='!'!$HE$4,VLOOKUP(A77,Reference!$B$25:$H$390,6,FALSE),VLOOKUP(A77,Monitoring!$B$25:$H$390,6,FALSE)),""))</f>
        <v/>
      </c>
      <c r="N77" s="256"/>
      <c r="O77" s="299" t="str">
        <f>IF($O$12="","",IFERROR(IF(Report!$D$4='!'!$HE$4,VLOOKUP(A77,Reference!$B$25:$H$390,7,FALSE),VLOOKUP(A77,Monitoring!$B$25:$H$390,7,FALSE)),""))</f>
        <v/>
      </c>
      <c r="P77" s="52"/>
      <c r="Q77" s="151" t="str">
        <f>IF(B77='!'!$GJ$15,'!'!$GJ$15,$Q$12)</f>
        <v>N</v>
      </c>
      <c r="S77" s="4" t="str">
        <f>IFERROR(ABS(T77),'!'!$GJ$15)</f>
        <v>N</v>
      </c>
      <c r="T77" s="84" t="str">
        <f>IFERROR(+G77-D77,'!'!$GJ$15)</f>
        <v>N</v>
      </c>
      <c r="U77" s="64" t="str">
        <f t="shared" si="1"/>
        <v>N</v>
      </c>
      <c r="W77" s="153" t="str">
        <f>IFERROR(I$10*I77,'!'!$GJ$15)</f>
        <v>N</v>
      </c>
      <c r="X77" s="153" t="str">
        <f>IFERROR(K$10*K77,'!'!$GJ$15)</f>
        <v>N</v>
      </c>
      <c r="Y77" s="153" t="str">
        <f>IFERROR(M$10*M77,'!'!$GJ$15)</f>
        <v>N</v>
      </c>
      <c r="Z77" s="153" t="str">
        <f>IFERROR(O$10*O78,'!'!$GJ$15)</f>
        <v>N</v>
      </c>
    </row>
    <row r="78" spans="1:26" x14ac:dyDescent="0.35">
      <c r="A78" s="4">
        <f t="shared" si="0"/>
        <v>54</v>
      </c>
      <c r="B78" s="286" t="str">
        <f>IFERROR(IF(Report!$D$4='!'!$HE$4,VLOOKUP(A78,Reference!$B$25:$H$390,2,FALSE),VLOOKUP(A78,Monitoring!$B$25:$H$390,2,FALSE)),'!'!$GJ$15)</f>
        <v>N</v>
      </c>
      <c r="C78" s="58" t="str">
        <f>Reference!A78</f>
        <v/>
      </c>
      <c r="D78" s="287" t="str">
        <f>IFERROR(IF(Report!$D$4='!'!$HE$4,VLOOKUP(A78,Reference!$B$25:$H$390,3,FALSE),VLOOKUP(A78,Monitoring!$B$25:$H$390,3,FALSE)),'!'!$GJ$15)</f>
        <v>N</v>
      </c>
      <c r="E78" s="150"/>
      <c r="F78" s="254"/>
      <c r="G78" s="151" t="str">
        <f>IF(D78='!'!$GJ$15,'!'!$GJ$15,(SUM(W78,X78,Y78,Z77,Q78)))</f>
        <v>N</v>
      </c>
      <c r="H78" s="52"/>
      <c r="I78" s="299" t="str">
        <f>IF($I$12="","",IFERROR(IF(Report!$D$4='!'!$HE$4,VLOOKUP(A78,Reference!$B$25:$H$390,4,FALSE),VLOOKUP(A78,Monitoring!$B$25:$H$390,4,FALSE)),""))</f>
        <v/>
      </c>
      <c r="J78" s="256"/>
      <c r="K78" s="299" t="str">
        <f>IF($K$12="","",IFERROR(IF(Report!$D$4='!'!$HE$4,VLOOKUP(A78,Reference!$B$25:$H$390,5,FALSE),VLOOKUP(A78,Monitoring!$B$25:$H$390,5,FALSE)),""))</f>
        <v/>
      </c>
      <c r="L78" s="256"/>
      <c r="M78" s="299" t="str">
        <f>IF($M$12="","",IFERROR(IF(Report!$D$4='!'!$HE$4,VLOOKUP(A78,Reference!$B$25:$H$390,6,FALSE),VLOOKUP(A78,Monitoring!$B$25:$H$390,6,FALSE)),""))</f>
        <v/>
      </c>
      <c r="N78" s="256"/>
      <c r="O78" s="299" t="str">
        <f>IF($O$12="","",IFERROR(IF(Report!$D$4='!'!$HE$4,VLOOKUP(A78,Reference!$B$25:$H$390,7,FALSE),VLOOKUP(A78,Monitoring!$B$25:$H$390,7,FALSE)),""))</f>
        <v/>
      </c>
      <c r="P78" s="52"/>
      <c r="Q78" s="151" t="str">
        <f>IF(B78='!'!$GJ$15,'!'!$GJ$15,$Q$12)</f>
        <v>N</v>
      </c>
      <c r="S78" s="4" t="str">
        <f>IFERROR(ABS(T78),'!'!$GJ$15)</f>
        <v>N</v>
      </c>
      <c r="T78" s="84" t="str">
        <f>IFERROR(+G78-D78,'!'!$GJ$15)</f>
        <v>N</v>
      </c>
      <c r="U78" s="64" t="str">
        <f t="shared" si="1"/>
        <v>N</v>
      </c>
      <c r="W78" s="153" t="str">
        <f>IFERROR(I$10*I78,'!'!$GJ$15)</f>
        <v>N</v>
      </c>
      <c r="X78" s="153" t="str">
        <f>IFERROR(K$10*K78,'!'!$GJ$15)</f>
        <v>N</v>
      </c>
      <c r="Y78" s="153" t="str">
        <f>IFERROR(M$10*M78,'!'!$GJ$15)</f>
        <v>N</v>
      </c>
      <c r="Z78" s="153" t="str">
        <f>IFERROR(O$10*O79,'!'!$GJ$15)</f>
        <v>N</v>
      </c>
    </row>
    <row r="79" spans="1:26" x14ac:dyDescent="0.35">
      <c r="A79" s="4">
        <f t="shared" si="0"/>
        <v>55</v>
      </c>
      <c r="B79" s="286" t="str">
        <f>IFERROR(IF(Report!$D$4='!'!$HE$4,VLOOKUP(A79,Reference!$B$25:$H$390,2,FALSE),VLOOKUP(A79,Monitoring!$B$25:$H$390,2,FALSE)),'!'!$GJ$15)</f>
        <v>N</v>
      </c>
      <c r="C79" s="58" t="str">
        <f>Reference!A79</f>
        <v/>
      </c>
      <c r="D79" s="287" t="str">
        <f>IFERROR(IF(Report!$D$4='!'!$HE$4,VLOOKUP(A79,Reference!$B$25:$H$390,3,FALSE),VLOOKUP(A79,Monitoring!$B$25:$H$390,3,FALSE)),'!'!$GJ$15)</f>
        <v>N</v>
      </c>
      <c r="E79" s="150"/>
      <c r="F79" s="254"/>
      <c r="G79" s="151" t="str">
        <f>IF(D79='!'!$GJ$15,'!'!$GJ$15,(SUM(W79,X79,Y79,Z78,Q79)))</f>
        <v>N</v>
      </c>
      <c r="H79" s="52"/>
      <c r="I79" s="299" t="str">
        <f>IF($I$12="","",IFERROR(IF(Report!$D$4='!'!$HE$4,VLOOKUP(A79,Reference!$B$25:$H$390,4,FALSE),VLOOKUP(A79,Monitoring!$B$25:$H$390,4,FALSE)),""))</f>
        <v/>
      </c>
      <c r="J79" s="256"/>
      <c r="K79" s="299" t="str">
        <f>IF($K$12="","",IFERROR(IF(Report!$D$4='!'!$HE$4,VLOOKUP(A79,Reference!$B$25:$H$390,5,FALSE),VLOOKUP(A79,Monitoring!$B$25:$H$390,5,FALSE)),""))</f>
        <v/>
      </c>
      <c r="L79" s="256"/>
      <c r="M79" s="299" t="str">
        <f>IF($M$12="","",IFERROR(IF(Report!$D$4='!'!$HE$4,VLOOKUP(A79,Reference!$B$25:$H$390,6,FALSE),VLOOKUP(A79,Monitoring!$B$25:$H$390,6,FALSE)),""))</f>
        <v/>
      </c>
      <c r="N79" s="256"/>
      <c r="O79" s="299" t="str">
        <f>IF($O$12="","",IFERROR(IF(Report!$D$4='!'!$HE$4,VLOOKUP(A79,Reference!$B$25:$H$390,7,FALSE),VLOOKUP(A79,Monitoring!$B$25:$H$390,7,FALSE)),""))</f>
        <v/>
      </c>
      <c r="P79" s="52"/>
      <c r="Q79" s="151" t="str">
        <f>IF(B79='!'!$GJ$15,'!'!$GJ$15,$Q$12)</f>
        <v>N</v>
      </c>
      <c r="S79" s="4" t="str">
        <f>IFERROR(ABS(T79),'!'!$GJ$15)</f>
        <v>N</v>
      </c>
      <c r="T79" s="84" t="str">
        <f>IFERROR(+G79-D79,'!'!$GJ$15)</f>
        <v>N</v>
      </c>
      <c r="U79" s="64" t="str">
        <f t="shared" si="1"/>
        <v>N</v>
      </c>
      <c r="W79" s="153" t="str">
        <f>IFERROR(I$10*I79,'!'!$GJ$15)</f>
        <v>N</v>
      </c>
      <c r="X79" s="153" t="str">
        <f>IFERROR(K$10*K79,'!'!$GJ$15)</f>
        <v>N</v>
      </c>
      <c r="Y79" s="153" t="str">
        <f>IFERROR(M$10*M79,'!'!$GJ$15)</f>
        <v>N</v>
      </c>
      <c r="Z79" s="153" t="str">
        <f>IFERROR(O$10*O80,'!'!$GJ$15)</f>
        <v>N</v>
      </c>
    </row>
    <row r="80" spans="1:26" x14ac:dyDescent="0.35">
      <c r="A80" s="4">
        <f t="shared" si="0"/>
        <v>56</v>
      </c>
      <c r="B80" s="286" t="str">
        <f>IFERROR(IF(Report!$D$4='!'!$HE$4,VLOOKUP(A80,Reference!$B$25:$H$390,2,FALSE),VLOOKUP(A80,Monitoring!$B$25:$H$390,2,FALSE)),'!'!$GJ$15)</f>
        <v>N</v>
      </c>
      <c r="C80" s="58" t="str">
        <f>Reference!A80</f>
        <v/>
      </c>
      <c r="D80" s="287" t="str">
        <f>IFERROR(IF(Report!$D$4='!'!$HE$4,VLOOKUP(A80,Reference!$B$25:$H$390,3,FALSE),VLOOKUP(A80,Monitoring!$B$25:$H$390,3,FALSE)),'!'!$GJ$15)</f>
        <v>N</v>
      </c>
      <c r="E80" s="150"/>
      <c r="F80" s="254"/>
      <c r="G80" s="151" t="str">
        <f>IF(D80='!'!$GJ$15,'!'!$GJ$15,(SUM(W80,X80,Y80,Z79,Q80)))</f>
        <v>N</v>
      </c>
      <c r="H80" s="52"/>
      <c r="I80" s="299" t="str">
        <f>IF($I$12="","",IFERROR(IF(Report!$D$4='!'!$HE$4,VLOOKUP(A80,Reference!$B$25:$H$390,4,FALSE),VLOOKUP(A80,Monitoring!$B$25:$H$390,4,FALSE)),""))</f>
        <v/>
      </c>
      <c r="J80" s="256"/>
      <c r="K80" s="299" t="str">
        <f>IF($K$12="","",IFERROR(IF(Report!$D$4='!'!$HE$4,VLOOKUP(A80,Reference!$B$25:$H$390,5,FALSE),VLOOKUP(A80,Monitoring!$B$25:$H$390,5,FALSE)),""))</f>
        <v/>
      </c>
      <c r="L80" s="256"/>
      <c r="M80" s="299" t="str">
        <f>IF($M$12="","",IFERROR(IF(Report!$D$4='!'!$HE$4,VLOOKUP(A80,Reference!$B$25:$H$390,6,FALSE),VLOOKUP(A80,Monitoring!$B$25:$H$390,6,FALSE)),""))</f>
        <v/>
      </c>
      <c r="N80" s="256"/>
      <c r="O80" s="299" t="str">
        <f>IF($O$12="","",IFERROR(IF(Report!$D$4='!'!$HE$4,VLOOKUP(A80,Reference!$B$25:$H$390,7,FALSE),VLOOKUP(A80,Monitoring!$B$25:$H$390,7,FALSE)),""))</f>
        <v/>
      </c>
      <c r="P80" s="52"/>
      <c r="Q80" s="151" t="str">
        <f>IF(B80='!'!$GJ$15,'!'!$GJ$15,$Q$12)</f>
        <v>N</v>
      </c>
      <c r="S80" s="4" t="str">
        <f>IFERROR(ABS(T80),'!'!$GJ$15)</f>
        <v>N</v>
      </c>
      <c r="T80" s="84" t="str">
        <f>IFERROR(+G80-D80,'!'!$GJ$15)</f>
        <v>N</v>
      </c>
      <c r="U80" s="64" t="str">
        <f t="shared" si="1"/>
        <v>N</v>
      </c>
      <c r="W80" s="153" t="str">
        <f>IFERROR(I$10*I80,'!'!$GJ$15)</f>
        <v>N</v>
      </c>
      <c r="X80" s="153" t="str">
        <f>IFERROR(K$10*K80,'!'!$GJ$15)</f>
        <v>N</v>
      </c>
      <c r="Y80" s="153" t="str">
        <f>IFERROR(M$10*M80,'!'!$GJ$15)</f>
        <v>N</v>
      </c>
      <c r="Z80" s="153" t="str">
        <f>IFERROR(O$10*O81,'!'!$GJ$15)</f>
        <v>N</v>
      </c>
    </row>
    <row r="81" spans="1:26" x14ac:dyDescent="0.35">
      <c r="A81" s="4">
        <f t="shared" si="0"/>
        <v>57</v>
      </c>
      <c r="B81" s="286" t="str">
        <f>IFERROR(IF(Report!$D$4='!'!$HE$4,VLOOKUP(A81,Reference!$B$25:$H$390,2,FALSE),VLOOKUP(A81,Monitoring!$B$25:$H$390,2,FALSE)),'!'!$GJ$15)</f>
        <v>N</v>
      </c>
      <c r="C81" s="58" t="str">
        <f>Reference!A81</f>
        <v/>
      </c>
      <c r="D81" s="287" t="str">
        <f>IFERROR(IF(Report!$D$4='!'!$HE$4,VLOOKUP(A81,Reference!$B$25:$H$390,3,FALSE),VLOOKUP(A81,Monitoring!$B$25:$H$390,3,FALSE)),'!'!$GJ$15)</f>
        <v>N</v>
      </c>
      <c r="E81" s="150"/>
      <c r="F81" s="254"/>
      <c r="G81" s="151" t="str">
        <f>IF(D81='!'!$GJ$15,'!'!$GJ$15,(SUM(W81,X81,Y81,Z80,Q81)))</f>
        <v>N</v>
      </c>
      <c r="H81" s="52"/>
      <c r="I81" s="299" t="str">
        <f>IF($I$12="","",IFERROR(IF(Report!$D$4='!'!$HE$4,VLOOKUP(A81,Reference!$B$25:$H$390,4,FALSE),VLOOKUP(A81,Monitoring!$B$25:$H$390,4,FALSE)),""))</f>
        <v/>
      </c>
      <c r="J81" s="256"/>
      <c r="K81" s="299" t="str">
        <f>IF($K$12="","",IFERROR(IF(Report!$D$4='!'!$HE$4,VLOOKUP(A81,Reference!$B$25:$H$390,5,FALSE),VLOOKUP(A81,Monitoring!$B$25:$H$390,5,FALSE)),""))</f>
        <v/>
      </c>
      <c r="L81" s="256"/>
      <c r="M81" s="299" t="str">
        <f>IF($M$12="","",IFERROR(IF(Report!$D$4='!'!$HE$4,VLOOKUP(A81,Reference!$B$25:$H$390,6,FALSE),VLOOKUP(A81,Monitoring!$B$25:$H$390,6,FALSE)),""))</f>
        <v/>
      </c>
      <c r="N81" s="256"/>
      <c r="O81" s="299" t="str">
        <f>IF($O$12="","",IFERROR(IF(Report!$D$4='!'!$HE$4,VLOOKUP(A81,Reference!$B$25:$H$390,7,FALSE),VLOOKUP(A81,Monitoring!$B$25:$H$390,7,FALSE)),""))</f>
        <v/>
      </c>
      <c r="P81" s="52"/>
      <c r="Q81" s="151" t="str">
        <f>IF(B81='!'!$GJ$15,'!'!$GJ$15,$Q$12)</f>
        <v>N</v>
      </c>
      <c r="S81" s="4" t="str">
        <f>IFERROR(ABS(T81),'!'!$GJ$15)</f>
        <v>N</v>
      </c>
      <c r="T81" s="84" t="str">
        <f>IFERROR(+G81-D81,'!'!$GJ$15)</f>
        <v>N</v>
      </c>
      <c r="U81" s="64" t="str">
        <f t="shared" si="1"/>
        <v>N</v>
      </c>
      <c r="W81" s="153" t="str">
        <f>IFERROR(I$10*I81,'!'!$GJ$15)</f>
        <v>N</v>
      </c>
      <c r="X81" s="153" t="str">
        <f>IFERROR(K$10*K81,'!'!$GJ$15)</f>
        <v>N</v>
      </c>
      <c r="Y81" s="153" t="str">
        <f>IFERROR(M$10*M81,'!'!$GJ$15)</f>
        <v>N</v>
      </c>
      <c r="Z81" s="153" t="str">
        <f>IFERROR(O$10*O82,'!'!$GJ$15)</f>
        <v>N</v>
      </c>
    </row>
    <row r="82" spans="1:26" x14ac:dyDescent="0.35">
      <c r="A82" s="4">
        <f t="shared" si="0"/>
        <v>58</v>
      </c>
      <c r="B82" s="286" t="str">
        <f>IFERROR(IF(Report!$D$4='!'!$HE$4,VLOOKUP(A82,Reference!$B$25:$H$390,2,FALSE),VLOOKUP(A82,Monitoring!$B$25:$H$390,2,FALSE)),'!'!$GJ$15)</f>
        <v>N</v>
      </c>
      <c r="C82" s="58" t="str">
        <f>Reference!A82</f>
        <v/>
      </c>
      <c r="D82" s="287" t="str">
        <f>IFERROR(IF(Report!$D$4='!'!$HE$4,VLOOKUP(A82,Reference!$B$25:$H$390,3,FALSE),VLOOKUP(A82,Monitoring!$B$25:$H$390,3,FALSE)),'!'!$GJ$15)</f>
        <v>N</v>
      </c>
      <c r="E82" s="150"/>
      <c r="F82" s="254"/>
      <c r="G82" s="151" t="str">
        <f>IF(D82='!'!$GJ$15,'!'!$GJ$15,(SUM(W82,X82,Y82,Z81,Q82)))</f>
        <v>N</v>
      </c>
      <c r="H82" s="52"/>
      <c r="I82" s="299" t="str">
        <f>IF($I$12="","",IFERROR(IF(Report!$D$4='!'!$HE$4,VLOOKUP(A82,Reference!$B$25:$H$390,4,FALSE),VLOOKUP(A82,Monitoring!$B$25:$H$390,4,FALSE)),""))</f>
        <v/>
      </c>
      <c r="J82" s="256"/>
      <c r="K82" s="299" t="str">
        <f>IF($K$12="","",IFERROR(IF(Report!$D$4='!'!$HE$4,VLOOKUP(A82,Reference!$B$25:$H$390,5,FALSE),VLOOKUP(A82,Monitoring!$B$25:$H$390,5,FALSE)),""))</f>
        <v/>
      </c>
      <c r="L82" s="256"/>
      <c r="M82" s="299" t="str">
        <f>IF($M$12="","",IFERROR(IF(Report!$D$4='!'!$HE$4,VLOOKUP(A82,Reference!$B$25:$H$390,6,FALSE),VLOOKUP(A82,Monitoring!$B$25:$H$390,6,FALSE)),""))</f>
        <v/>
      </c>
      <c r="N82" s="256"/>
      <c r="O82" s="299" t="str">
        <f>IF($O$12="","",IFERROR(IF(Report!$D$4='!'!$HE$4,VLOOKUP(A82,Reference!$B$25:$H$390,7,FALSE),VLOOKUP(A82,Monitoring!$B$25:$H$390,7,FALSE)),""))</f>
        <v/>
      </c>
      <c r="P82" s="52"/>
      <c r="Q82" s="151" t="str">
        <f>IF(B82='!'!$GJ$15,'!'!$GJ$15,$Q$12)</f>
        <v>N</v>
      </c>
      <c r="S82" s="4" t="str">
        <f>IFERROR(ABS(T82),'!'!$GJ$15)</f>
        <v>N</v>
      </c>
      <c r="T82" s="84" t="str">
        <f>IFERROR(+G82-D82,'!'!$GJ$15)</f>
        <v>N</v>
      </c>
      <c r="U82" s="64" t="str">
        <f t="shared" si="1"/>
        <v>N</v>
      </c>
      <c r="W82" s="153" t="str">
        <f>IFERROR(I$10*I82,'!'!$GJ$15)</f>
        <v>N</v>
      </c>
      <c r="X82" s="153" t="str">
        <f>IFERROR(K$10*K82,'!'!$GJ$15)</f>
        <v>N</v>
      </c>
      <c r="Y82" s="153" t="str">
        <f>IFERROR(M$10*M82,'!'!$GJ$15)</f>
        <v>N</v>
      </c>
      <c r="Z82" s="153" t="str">
        <f>IFERROR(O$10*O83,'!'!$GJ$15)</f>
        <v>N</v>
      </c>
    </row>
    <row r="83" spans="1:26" x14ac:dyDescent="0.35">
      <c r="A83" s="4">
        <f t="shared" si="0"/>
        <v>59</v>
      </c>
      <c r="B83" s="286" t="str">
        <f>IFERROR(IF(Report!$D$4='!'!$HE$4,VLOOKUP(A83,Reference!$B$25:$H$390,2,FALSE),VLOOKUP(A83,Monitoring!$B$25:$H$390,2,FALSE)),'!'!$GJ$15)</f>
        <v>N</v>
      </c>
      <c r="C83" s="58" t="str">
        <f>Reference!A83</f>
        <v/>
      </c>
      <c r="D83" s="287" t="str">
        <f>IFERROR(IF(Report!$D$4='!'!$HE$4,VLOOKUP(A83,Reference!$B$25:$H$390,3,FALSE),VLOOKUP(A83,Monitoring!$B$25:$H$390,3,FALSE)),'!'!$GJ$15)</f>
        <v>N</v>
      </c>
      <c r="E83" s="150"/>
      <c r="F83" s="254"/>
      <c r="G83" s="151" t="str">
        <f>IF(D83='!'!$GJ$15,'!'!$GJ$15,(SUM(W83,X83,Y83,Z82,Q83)))</f>
        <v>N</v>
      </c>
      <c r="H83" s="52"/>
      <c r="I83" s="299" t="str">
        <f>IF($I$12="","",IFERROR(IF(Report!$D$4='!'!$HE$4,VLOOKUP(A83,Reference!$B$25:$H$390,4,FALSE),VLOOKUP(A83,Monitoring!$B$25:$H$390,4,FALSE)),""))</f>
        <v/>
      </c>
      <c r="J83" s="256"/>
      <c r="K83" s="299" t="str">
        <f>IF($K$12="","",IFERROR(IF(Report!$D$4='!'!$HE$4,VLOOKUP(A83,Reference!$B$25:$H$390,5,FALSE),VLOOKUP(A83,Monitoring!$B$25:$H$390,5,FALSE)),""))</f>
        <v/>
      </c>
      <c r="L83" s="256"/>
      <c r="M83" s="299" t="str">
        <f>IF($M$12="","",IFERROR(IF(Report!$D$4='!'!$HE$4,VLOOKUP(A83,Reference!$B$25:$H$390,6,FALSE),VLOOKUP(A83,Monitoring!$B$25:$H$390,6,FALSE)),""))</f>
        <v/>
      </c>
      <c r="N83" s="256"/>
      <c r="O83" s="299" t="str">
        <f>IF($O$12="","",IFERROR(IF(Report!$D$4='!'!$HE$4,VLOOKUP(A83,Reference!$B$25:$H$390,7,FALSE),VLOOKUP(A83,Monitoring!$B$25:$H$390,7,FALSE)),""))</f>
        <v/>
      </c>
      <c r="P83" s="52"/>
      <c r="Q83" s="151" t="str">
        <f>IF(B83='!'!$GJ$15,'!'!$GJ$15,$Q$12)</f>
        <v>N</v>
      </c>
      <c r="S83" s="4" t="str">
        <f>IFERROR(ABS(T83),'!'!$GJ$15)</f>
        <v>N</v>
      </c>
      <c r="T83" s="84" t="str">
        <f>IFERROR(+G83-D83,'!'!$GJ$15)</f>
        <v>N</v>
      </c>
      <c r="U83" s="64" t="str">
        <f t="shared" si="1"/>
        <v>N</v>
      </c>
      <c r="W83" s="153" t="str">
        <f>IFERROR(I$10*I83,'!'!$GJ$15)</f>
        <v>N</v>
      </c>
      <c r="X83" s="153" t="str">
        <f>IFERROR(K$10*K83,'!'!$GJ$15)</f>
        <v>N</v>
      </c>
      <c r="Y83" s="153" t="str">
        <f>IFERROR(M$10*M83,'!'!$GJ$15)</f>
        <v>N</v>
      </c>
      <c r="Z83" s="153" t="str">
        <f>IFERROR(O$10*O84,'!'!$GJ$15)</f>
        <v>N</v>
      </c>
    </row>
    <row r="84" spans="1:26" x14ac:dyDescent="0.35">
      <c r="A84" s="4">
        <f t="shared" si="0"/>
        <v>60</v>
      </c>
      <c r="B84" s="286" t="str">
        <f>IFERROR(IF(Report!$D$4='!'!$HE$4,VLOOKUP(A84,Reference!$B$25:$H$390,2,FALSE),VLOOKUP(A84,Monitoring!$B$25:$H$390,2,FALSE)),'!'!$GJ$15)</f>
        <v>N</v>
      </c>
      <c r="C84" s="58" t="str">
        <f>Reference!A84</f>
        <v/>
      </c>
      <c r="D84" s="287" t="str">
        <f>IFERROR(IF(Report!$D$4='!'!$HE$4,VLOOKUP(A84,Reference!$B$25:$H$390,3,FALSE),VLOOKUP(A84,Monitoring!$B$25:$H$390,3,FALSE)),'!'!$GJ$15)</f>
        <v>N</v>
      </c>
      <c r="E84" s="150"/>
      <c r="F84" s="254"/>
      <c r="G84" s="151" t="str">
        <f>IF(D84='!'!$GJ$15,'!'!$GJ$15,(SUM(W84,X84,Y84,Z83,Q84)))</f>
        <v>N</v>
      </c>
      <c r="H84" s="52"/>
      <c r="I84" s="299" t="str">
        <f>IF($I$12="","",IFERROR(IF(Report!$D$4='!'!$HE$4,VLOOKUP(A84,Reference!$B$25:$H$390,4,FALSE),VLOOKUP(A84,Monitoring!$B$25:$H$390,4,FALSE)),""))</f>
        <v/>
      </c>
      <c r="J84" s="256"/>
      <c r="K84" s="299" t="str">
        <f>IF($K$12="","",IFERROR(IF(Report!$D$4='!'!$HE$4,VLOOKUP(A84,Reference!$B$25:$H$390,5,FALSE),VLOOKUP(A84,Monitoring!$B$25:$H$390,5,FALSE)),""))</f>
        <v/>
      </c>
      <c r="L84" s="256"/>
      <c r="M84" s="299" t="str">
        <f>IF($M$12="","",IFERROR(IF(Report!$D$4='!'!$HE$4,VLOOKUP(A84,Reference!$B$25:$H$390,6,FALSE),VLOOKUP(A84,Monitoring!$B$25:$H$390,6,FALSE)),""))</f>
        <v/>
      </c>
      <c r="N84" s="256"/>
      <c r="O84" s="299" t="str">
        <f>IF($O$12="","",IFERROR(IF(Report!$D$4='!'!$HE$4,VLOOKUP(A84,Reference!$B$25:$H$390,7,FALSE),VLOOKUP(A84,Monitoring!$B$25:$H$390,7,FALSE)),""))</f>
        <v/>
      </c>
      <c r="P84" s="52"/>
      <c r="Q84" s="151" t="str">
        <f>IF(B84='!'!$GJ$15,'!'!$GJ$15,$Q$12)</f>
        <v>N</v>
      </c>
      <c r="S84" s="4" t="str">
        <f>IFERROR(ABS(T84),'!'!$GJ$15)</f>
        <v>N</v>
      </c>
      <c r="T84" s="84" t="str">
        <f>IFERROR(+G84-D84,'!'!$GJ$15)</f>
        <v>N</v>
      </c>
      <c r="U84" s="64" t="str">
        <f t="shared" si="1"/>
        <v>N</v>
      </c>
      <c r="W84" s="153" t="str">
        <f>IFERROR(I$10*I84,'!'!$GJ$15)</f>
        <v>N</v>
      </c>
      <c r="X84" s="153" t="str">
        <f>IFERROR(K$10*K84,'!'!$GJ$15)</f>
        <v>N</v>
      </c>
      <c r="Y84" s="153" t="str">
        <f>IFERROR(M$10*M84,'!'!$GJ$15)</f>
        <v>N</v>
      </c>
      <c r="Z84" s="153" t="str">
        <f>IFERROR(O$10*O85,'!'!$GJ$15)</f>
        <v>N</v>
      </c>
    </row>
    <row r="85" spans="1:26" x14ac:dyDescent="0.35">
      <c r="A85" s="4">
        <f t="shared" si="0"/>
        <v>61</v>
      </c>
      <c r="B85" s="286" t="str">
        <f>IFERROR(IF(Report!$D$4='!'!$HE$4,VLOOKUP(A85,Reference!$B$25:$H$390,2,FALSE),VLOOKUP(A85,Monitoring!$B$25:$H$390,2,FALSE)),'!'!$GJ$15)</f>
        <v>N</v>
      </c>
      <c r="C85" s="58" t="str">
        <f>Reference!A85</f>
        <v/>
      </c>
      <c r="D85" s="287" t="str">
        <f>IFERROR(IF(Report!$D$4='!'!$HE$4,VLOOKUP(A85,Reference!$B$25:$H$390,3,FALSE),VLOOKUP(A85,Monitoring!$B$25:$H$390,3,FALSE)),'!'!$GJ$15)</f>
        <v>N</v>
      </c>
      <c r="E85" s="150"/>
      <c r="F85" s="254"/>
      <c r="G85" s="151" t="str">
        <f>IF(D85='!'!$GJ$15,'!'!$GJ$15,(SUM(W85,X85,Y85,Z84,Q85)))</f>
        <v>N</v>
      </c>
      <c r="H85" s="52"/>
      <c r="I85" s="299" t="str">
        <f>IF($I$12="","",IFERROR(IF(Report!$D$4='!'!$HE$4,VLOOKUP(A85,Reference!$B$25:$H$390,4,FALSE),VLOOKUP(A85,Monitoring!$B$25:$H$390,4,FALSE)),""))</f>
        <v/>
      </c>
      <c r="J85" s="256"/>
      <c r="K85" s="299" t="str">
        <f>IF($K$12="","",IFERROR(IF(Report!$D$4='!'!$HE$4,VLOOKUP(A85,Reference!$B$25:$H$390,5,FALSE),VLOOKUP(A85,Monitoring!$B$25:$H$390,5,FALSE)),""))</f>
        <v/>
      </c>
      <c r="L85" s="256"/>
      <c r="M85" s="299" t="str">
        <f>IF($M$12="","",IFERROR(IF(Report!$D$4='!'!$HE$4,VLOOKUP(A85,Reference!$B$25:$H$390,6,FALSE),VLOOKUP(A85,Monitoring!$B$25:$H$390,6,FALSE)),""))</f>
        <v/>
      </c>
      <c r="N85" s="256"/>
      <c r="O85" s="299" t="str">
        <f>IF($O$12="","",IFERROR(IF(Report!$D$4='!'!$HE$4,VLOOKUP(A85,Reference!$B$25:$H$390,7,FALSE),VLOOKUP(A85,Monitoring!$B$25:$H$390,7,FALSE)),""))</f>
        <v/>
      </c>
      <c r="P85" s="52"/>
      <c r="Q85" s="151" t="str">
        <f>IF(B85='!'!$GJ$15,'!'!$GJ$15,$Q$12)</f>
        <v>N</v>
      </c>
      <c r="S85" s="4" t="str">
        <f>IFERROR(ABS(T85),'!'!$GJ$15)</f>
        <v>N</v>
      </c>
      <c r="T85" s="84" t="str">
        <f>IFERROR(+G85-D85,'!'!$GJ$15)</f>
        <v>N</v>
      </c>
      <c r="U85" s="64" t="str">
        <f t="shared" si="1"/>
        <v>N</v>
      </c>
      <c r="W85" s="153" t="str">
        <f>IFERROR(I$10*I85,'!'!$GJ$15)</f>
        <v>N</v>
      </c>
      <c r="X85" s="153" t="str">
        <f>IFERROR(K$10*K85,'!'!$GJ$15)</f>
        <v>N</v>
      </c>
      <c r="Y85" s="153" t="str">
        <f>IFERROR(M$10*M85,'!'!$GJ$15)</f>
        <v>N</v>
      </c>
      <c r="Z85" s="153" t="str">
        <f>IFERROR(O$10*O86,'!'!$GJ$15)</f>
        <v>N</v>
      </c>
    </row>
    <row r="86" spans="1:26" x14ac:dyDescent="0.35">
      <c r="A86" s="4">
        <f t="shared" si="0"/>
        <v>62</v>
      </c>
      <c r="B86" s="286" t="str">
        <f>IFERROR(IF(Report!$D$4='!'!$HE$4,VLOOKUP(A86,Reference!$B$25:$H$390,2,FALSE),VLOOKUP(A86,Monitoring!$B$25:$H$390,2,FALSE)),'!'!$GJ$15)</f>
        <v>N</v>
      </c>
      <c r="C86" s="58" t="str">
        <f>Reference!A86</f>
        <v/>
      </c>
      <c r="D86" s="287" t="str">
        <f>IFERROR(IF(Report!$D$4='!'!$HE$4,VLOOKUP(A86,Reference!$B$25:$H$390,3,FALSE),VLOOKUP(A86,Monitoring!$B$25:$H$390,3,FALSE)),'!'!$GJ$15)</f>
        <v>N</v>
      </c>
      <c r="E86" s="150"/>
      <c r="F86" s="254"/>
      <c r="G86" s="151" t="str">
        <f>IF(D86='!'!$GJ$15,'!'!$GJ$15,(SUM(W86,X86,Y86,Z85,Q86)))</f>
        <v>N</v>
      </c>
      <c r="H86" s="52"/>
      <c r="I86" s="299" t="str">
        <f>IF($I$12="","",IFERROR(IF(Report!$D$4='!'!$HE$4,VLOOKUP(A86,Reference!$B$25:$H$390,4,FALSE),VLOOKUP(A86,Monitoring!$B$25:$H$390,4,FALSE)),""))</f>
        <v/>
      </c>
      <c r="J86" s="256"/>
      <c r="K86" s="299" t="str">
        <f>IF($K$12="","",IFERROR(IF(Report!$D$4='!'!$HE$4,VLOOKUP(A86,Reference!$B$25:$H$390,5,FALSE),VLOOKUP(A86,Monitoring!$B$25:$H$390,5,FALSE)),""))</f>
        <v/>
      </c>
      <c r="L86" s="256"/>
      <c r="M86" s="299" t="str">
        <f>IF($M$12="","",IFERROR(IF(Report!$D$4='!'!$HE$4,VLOOKUP(A86,Reference!$B$25:$H$390,6,FALSE),VLOOKUP(A86,Monitoring!$B$25:$H$390,6,FALSE)),""))</f>
        <v/>
      </c>
      <c r="N86" s="256"/>
      <c r="O86" s="299" t="str">
        <f>IF($O$12="","",IFERROR(IF(Report!$D$4='!'!$HE$4,VLOOKUP(A86,Reference!$B$25:$H$390,7,FALSE),VLOOKUP(A86,Monitoring!$B$25:$H$390,7,FALSE)),""))</f>
        <v/>
      </c>
      <c r="P86" s="52"/>
      <c r="Q86" s="151" t="str">
        <f>IF(B86='!'!$GJ$15,'!'!$GJ$15,$Q$12)</f>
        <v>N</v>
      </c>
      <c r="S86" s="4" t="str">
        <f>IFERROR(ABS(T86),'!'!$GJ$15)</f>
        <v>N</v>
      </c>
      <c r="T86" s="84" t="str">
        <f>IFERROR(+G86-D86,'!'!$GJ$15)</f>
        <v>N</v>
      </c>
      <c r="U86" s="64" t="str">
        <f t="shared" si="1"/>
        <v>N</v>
      </c>
      <c r="W86" s="153" t="str">
        <f>IFERROR(I$10*I86,'!'!$GJ$15)</f>
        <v>N</v>
      </c>
      <c r="X86" s="153" t="str">
        <f>IFERROR(K$10*K86,'!'!$GJ$15)</f>
        <v>N</v>
      </c>
      <c r="Y86" s="153" t="str">
        <f>IFERROR(M$10*M86,'!'!$GJ$15)</f>
        <v>N</v>
      </c>
      <c r="Z86" s="153" t="str">
        <f>IFERROR(O$10*O87,'!'!$GJ$15)</f>
        <v>N</v>
      </c>
    </row>
    <row r="87" spans="1:26" x14ac:dyDescent="0.35">
      <c r="A87" s="4">
        <f t="shared" si="0"/>
        <v>63</v>
      </c>
      <c r="B87" s="286" t="str">
        <f>IFERROR(IF(Report!$D$4='!'!$HE$4,VLOOKUP(A87,Reference!$B$25:$H$390,2,FALSE),VLOOKUP(A87,Monitoring!$B$25:$H$390,2,FALSE)),'!'!$GJ$15)</f>
        <v>N</v>
      </c>
      <c r="C87" s="58" t="str">
        <f>Reference!A87</f>
        <v/>
      </c>
      <c r="D87" s="287" t="str">
        <f>IFERROR(IF(Report!$D$4='!'!$HE$4,VLOOKUP(A87,Reference!$B$25:$H$390,3,FALSE),VLOOKUP(A87,Monitoring!$B$25:$H$390,3,FALSE)),'!'!$GJ$15)</f>
        <v>N</v>
      </c>
      <c r="E87" s="150"/>
      <c r="F87" s="254"/>
      <c r="G87" s="151" t="str">
        <f>IF(D87='!'!$GJ$15,'!'!$GJ$15,(SUM(W87,X87,Y87,Z86,Q87)))</f>
        <v>N</v>
      </c>
      <c r="H87" s="52"/>
      <c r="I87" s="299" t="str">
        <f>IF($I$12="","",IFERROR(IF(Report!$D$4='!'!$HE$4,VLOOKUP(A87,Reference!$B$25:$H$390,4,FALSE),VLOOKUP(A87,Monitoring!$B$25:$H$390,4,FALSE)),""))</f>
        <v/>
      </c>
      <c r="J87" s="256"/>
      <c r="K87" s="299" t="str">
        <f>IF($K$12="","",IFERROR(IF(Report!$D$4='!'!$HE$4,VLOOKUP(A87,Reference!$B$25:$H$390,5,FALSE),VLOOKUP(A87,Monitoring!$B$25:$H$390,5,FALSE)),""))</f>
        <v/>
      </c>
      <c r="L87" s="256"/>
      <c r="M87" s="299" t="str">
        <f>IF($M$12="","",IFERROR(IF(Report!$D$4='!'!$HE$4,VLOOKUP(A87,Reference!$B$25:$H$390,6,FALSE),VLOOKUP(A87,Monitoring!$B$25:$H$390,6,FALSE)),""))</f>
        <v/>
      </c>
      <c r="N87" s="256"/>
      <c r="O87" s="299" t="str">
        <f>IF($O$12="","",IFERROR(IF(Report!$D$4='!'!$HE$4,VLOOKUP(A87,Reference!$B$25:$H$390,7,FALSE),VLOOKUP(A87,Monitoring!$B$25:$H$390,7,FALSE)),""))</f>
        <v/>
      </c>
      <c r="P87" s="52"/>
      <c r="Q87" s="151" t="str">
        <f>IF(B87='!'!$GJ$15,'!'!$GJ$15,$Q$12)</f>
        <v>N</v>
      </c>
      <c r="S87" s="4" t="str">
        <f>IFERROR(ABS(T87),'!'!$GJ$15)</f>
        <v>N</v>
      </c>
      <c r="T87" s="84" t="str">
        <f>IFERROR(+G87-D87,'!'!$GJ$15)</f>
        <v>N</v>
      </c>
      <c r="U87" s="64" t="str">
        <f t="shared" si="1"/>
        <v>N</v>
      </c>
      <c r="W87" s="153" t="str">
        <f>IFERROR(I$10*I87,'!'!$GJ$15)</f>
        <v>N</v>
      </c>
      <c r="X87" s="153" t="str">
        <f>IFERROR(K$10*K87,'!'!$GJ$15)</f>
        <v>N</v>
      </c>
      <c r="Y87" s="153" t="str">
        <f>IFERROR(M$10*M87,'!'!$GJ$15)</f>
        <v>N</v>
      </c>
      <c r="Z87" s="153" t="str">
        <f>IFERROR(O$10*O88,'!'!$GJ$15)</f>
        <v>N</v>
      </c>
    </row>
    <row r="88" spans="1:26" x14ac:dyDescent="0.35">
      <c r="A88" s="4">
        <f t="shared" si="0"/>
        <v>64</v>
      </c>
      <c r="B88" s="286" t="str">
        <f>IFERROR(IF(Report!$D$4='!'!$HE$4,VLOOKUP(A88,Reference!$B$25:$H$390,2,FALSE),VLOOKUP(A88,Monitoring!$B$25:$H$390,2,FALSE)),'!'!$GJ$15)</f>
        <v>N</v>
      </c>
      <c r="C88" s="58" t="str">
        <f>Reference!A88</f>
        <v/>
      </c>
      <c r="D88" s="287" t="str">
        <f>IFERROR(IF(Report!$D$4='!'!$HE$4,VLOOKUP(A88,Reference!$B$25:$H$390,3,FALSE),VLOOKUP(A88,Monitoring!$B$25:$H$390,3,FALSE)),'!'!$GJ$15)</f>
        <v>N</v>
      </c>
      <c r="E88" s="150"/>
      <c r="F88" s="254"/>
      <c r="G88" s="151" t="str">
        <f>IF(D88='!'!$GJ$15,'!'!$GJ$15,(SUM(W88,X88,Y88,Z87,Q88)))</f>
        <v>N</v>
      </c>
      <c r="H88" s="52"/>
      <c r="I88" s="299" t="str">
        <f>IF($I$12="","",IFERROR(IF(Report!$D$4='!'!$HE$4,VLOOKUP(A88,Reference!$B$25:$H$390,4,FALSE),VLOOKUP(A88,Monitoring!$B$25:$H$390,4,FALSE)),""))</f>
        <v/>
      </c>
      <c r="J88" s="256"/>
      <c r="K88" s="299" t="str">
        <f>IF($K$12="","",IFERROR(IF(Report!$D$4='!'!$HE$4,VLOOKUP(A88,Reference!$B$25:$H$390,5,FALSE),VLOOKUP(A88,Monitoring!$B$25:$H$390,5,FALSE)),""))</f>
        <v/>
      </c>
      <c r="L88" s="256"/>
      <c r="M88" s="299" t="str">
        <f>IF($M$12="","",IFERROR(IF(Report!$D$4='!'!$HE$4,VLOOKUP(A88,Reference!$B$25:$H$390,6,FALSE),VLOOKUP(A88,Monitoring!$B$25:$H$390,6,FALSE)),""))</f>
        <v/>
      </c>
      <c r="N88" s="256"/>
      <c r="O88" s="299" t="str">
        <f>IF($O$12="","",IFERROR(IF(Report!$D$4='!'!$HE$4,VLOOKUP(A88,Reference!$B$25:$H$390,7,FALSE),VLOOKUP(A88,Monitoring!$B$25:$H$390,7,FALSE)),""))</f>
        <v/>
      </c>
      <c r="P88" s="52"/>
      <c r="Q88" s="151" t="str">
        <f>IF(B88='!'!$GJ$15,'!'!$GJ$15,$Q$12)</f>
        <v>N</v>
      </c>
      <c r="S88" s="4" t="str">
        <f>IFERROR(ABS(T88),'!'!$GJ$15)</f>
        <v>N</v>
      </c>
      <c r="T88" s="84" t="str">
        <f>IFERROR(+G88-D88,'!'!$GJ$15)</f>
        <v>N</v>
      </c>
      <c r="U88" s="64" t="str">
        <f t="shared" si="1"/>
        <v>N</v>
      </c>
      <c r="W88" s="153" t="str">
        <f>IFERROR(I$10*I88,'!'!$GJ$15)</f>
        <v>N</v>
      </c>
      <c r="X88" s="153" t="str">
        <f>IFERROR(K$10*K88,'!'!$GJ$15)</f>
        <v>N</v>
      </c>
      <c r="Y88" s="153" t="str">
        <f>IFERROR(M$10*M88,'!'!$GJ$15)</f>
        <v>N</v>
      </c>
      <c r="Z88" s="153" t="str">
        <f>IFERROR(O$10*O89,'!'!$GJ$15)</f>
        <v>N</v>
      </c>
    </row>
    <row r="89" spans="1:26" x14ac:dyDescent="0.35">
      <c r="A89" s="4">
        <f t="shared" si="0"/>
        <v>65</v>
      </c>
      <c r="B89" s="286" t="str">
        <f>IFERROR(IF(Report!$D$4='!'!$HE$4,VLOOKUP(A89,Reference!$B$25:$H$390,2,FALSE),VLOOKUP(A89,Monitoring!$B$25:$H$390,2,FALSE)),'!'!$GJ$15)</f>
        <v>N</v>
      </c>
      <c r="C89" s="58" t="str">
        <f>Reference!A89</f>
        <v/>
      </c>
      <c r="D89" s="287" t="str">
        <f>IFERROR(IF(Report!$D$4='!'!$HE$4,VLOOKUP(A89,Reference!$B$25:$H$390,3,FALSE),VLOOKUP(A89,Monitoring!$B$25:$H$390,3,FALSE)),'!'!$GJ$15)</f>
        <v>N</v>
      </c>
      <c r="E89" s="150"/>
      <c r="F89" s="254"/>
      <c r="G89" s="151" t="str">
        <f>IF(D89='!'!$GJ$15,'!'!$GJ$15,(SUM(W89,X89,Y89,Z88,Q89)))</f>
        <v>N</v>
      </c>
      <c r="H89" s="52"/>
      <c r="I89" s="299" t="str">
        <f>IF($I$12="","",IFERROR(IF(Report!$D$4='!'!$HE$4,VLOOKUP(A89,Reference!$B$25:$H$390,4,FALSE),VLOOKUP(A89,Monitoring!$B$25:$H$390,4,FALSE)),""))</f>
        <v/>
      </c>
      <c r="J89" s="256"/>
      <c r="K89" s="299" t="str">
        <f>IF($K$12="","",IFERROR(IF(Report!$D$4='!'!$HE$4,VLOOKUP(A89,Reference!$B$25:$H$390,5,FALSE),VLOOKUP(A89,Monitoring!$B$25:$H$390,5,FALSE)),""))</f>
        <v/>
      </c>
      <c r="L89" s="256"/>
      <c r="M89" s="299" t="str">
        <f>IF($M$12="","",IFERROR(IF(Report!$D$4='!'!$HE$4,VLOOKUP(A89,Reference!$B$25:$H$390,6,FALSE),VLOOKUP(A89,Monitoring!$B$25:$H$390,6,FALSE)),""))</f>
        <v/>
      </c>
      <c r="N89" s="256"/>
      <c r="O89" s="299" t="str">
        <f>IF($O$12="","",IFERROR(IF(Report!$D$4='!'!$HE$4,VLOOKUP(A89,Reference!$B$25:$H$390,7,FALSE),VLOOKUP(A89,Monitoring!$B$25:$H$390,7,FALSE)),""))</f>
        <v/>
      </c>
      <c r="P89" s="52"/>
      <c r="Q89" s="151" t="str">
        <f>IF(B89='!'!$GJ$15,'!'!$GJ$15,$Q$12)</f>
        <v>N</v>
      </c>
      <c r="S89" s="4" t="str">
        <f>IFERROR(ABS(T89),'!'!$GJ$15)</f>
        <v>N</v>
      </c>
      <c r="T89" s="84" t="str">
        <f>IFERROR(+G89-D89,'!'!$GJ$15)</f>
        <v>N</v>
      </c>
      <c r="U89" s="64" t="str">
        <f t="shared" si="1"/>
        <v>N</v>
      </c>
      <c r="W89" s="153" t="str">
        <f>IFERROR(I$10*I89,'!'!$GJ$15)</f>
        <v>N</v>
      </c>
      <c r="X89" s="153" t="str">
        <f>IFERROR(K$10*K89,'!'!$GJ$15)</f>
        <v>N</v>
      </c>
      <c r="Y89" s="153" t="str">
        <f>IFERROR(M$10*M89,'!'!$GJ$15)</f>
        <v>N</v>
      </c>
      <c r="Z89" s="153" t="str">
        <f>IFERROR(O$10*O90,'!'!$GJ$15)</f>
        <v>N</v>
      </c>
    </row>
    <row r="90" spans="1:26" x14ac:dyDescent="0.35">
      <c r="A90" s="4">
        <f t="shared" ref="A90:A153" si="2">A89+1</f>
        <v>66</v>
      </c>
      <c r="B90" s="286" t="str">
        <f>IFERROR(IF(Report!$D$4='!'!$HE$4,VLOOKUP(A90,Reference!$B$25:$H$390,2,FALSE),VLOOKUP(A90,Monitoring!$B$25:$H$390,2,FALSE)),'!'!$GJ$15)</f>
        <v>N</v>
      </c>
      <c r="C90" s="58" t="str">
        <f>Reference!A90</f>
        <v/>
      </c>
      <c r="D90" s="287" t="str">
        <f>IFERROR(IF(Report!$D$4='!'!$HE$4,VLOOKUP(A90,Reference!$B$25:$H$390,3,FALSE),VLOOKUP(A90,Monitoring!$B$25:$H$390,3,FALSE)),'!'!$GJ$15)</f>
        <v>N</v>
      </c>
      <c r="E90" s="150"/>
      <c r="F90" s="254"/>
      <c r="G90" s="151" t="str">
        <f>IF(D90='!'!$GJ$15,'!'!$GJ$15,(SUM(W90,X90,Y90,Z89,Q90)))</f>
        <v>N</v>
      </c>
      <c r="H90" s="52"/>
      <c r="I90" s="299" t="str">
        <f>IF($I$12="","",IFERROR(IF(Report!$D$4='!'!$HE$4,VLOOKUP(A90,Reference!$B$25:$H$390,4,FALSE),VLOOKUP(A90,Monitoring!$B$25:$H$390,4,FALSE)),""))</f>
        <v/>
      </c>
      <c r="J90" s="256"/>
      <c r="K90" s="299" t="str">
        <f>IF($K$12="","",IFERROR(IF(Report!$D$4='!'!$HE$4,VLOOKUP(A90,Reference!$B$25:$H$390,5,FALSE),VLOOKUP(A90,Monitoring!$B$25:$H$390,5,FALSE)),""))</f>
        <v/>
      </c>
      <c r="L90" s="256"/>
      <c r="M90" s="299" t="str">
        <f>IF($M$12="","",IFERROR(IF(Report!$D$4='!'!$HE$4,VLOOKUP(A90,Reference!$B$25:$H$390,6,FALSE),VLOOKUP(A90,Monitoring!$B$25:$H$390,6,FALSE)),""))</f>
        <v/>
      </c>
      <c r="N90" s="256"/>
      <c r="O90" s="299" t="str">
        <f>IF($O$12="","",IFERROR(IF(Report!$D$4='!'!$HE$4,VLOOKUP(A90,Reference!$B$25:$H$390,7,FALSE),VLOOKUP(A90,Monitoring!$B$25:$H$390,7,FALSE)),""))</f>
        <v/>
      </c>
      <c r="P90" s="52"/>
      <c r="Q90" s="151" t="str">
        <f>IF(B90='!'!$GJ$15,'!'!$GJ$15,$Q$12)</f>
        <v>N</v>
      </c>
      <c r="S90" s="4" t="str">
        <f>IFERROR(ABS(T90),'!'!$GJ$15)</f>
        <v>N</v>
      </c>
      <c r="T90" s="84" t="str">
        <f>IFERROR(+G90-D90,'!'!$GJ$15)</f>
        <v>N</v>
      </c>
      <c r="U90" s="64" t="str">
        <f t="shared" ref="U90:U153" si="3">B90</f>
        <v>N</v>
      </c>
      <c r="W90" s="153" t="str">
        <f>IFERROR(I$10*I90,'!'!$GJ$15)</f>
        <v>N</v>
      </c>
      <c r="X90" s="153" t="str">
        <f>IFERROR(K$10*K90,'!'!$GJ$15)</f>
        <v>N</v>
      </c>
      <c r="Y90" s="153" t="str">
        <f>IFERROR(M$10*M90,'!'!$GJ$15)</f>
        <v>N</v>
      </c>
      <c r="Z90" s="153" t="str">
        <f>IFERROR(O$10*O91,'!'!$GJ$15)</f>
        <v>N</v>
      </c>
    </row>
    <row r="91" spans="1:26" x14ac:dyDescent="0.35">
      <c r="A91" s="4">
        <f t="shared" si="2"/>
        <v>67</v>
      </c>
      <c r="B91" s="286" t="str">
        <f>IFERROR(IF(Report!$D$4='!'!$HE$4,VLOOKUP(A91,Reference!$B$25:$H$390,2,FALSE),VLOOKUP(A91,Monitoring!$B$25:$H$390,2,FALSE)),'!'!$GJ$15)</f>
        <v>N</v>
      </c>
      <c r="C91" s="58" t="str">
        <f>Reference!A91</f>
        <v/>
      </c>
      <c r="D91" s="287" t="str">
        <f>IFERROR(IF(Report!$D$4='!'!$HE$4,VLOOKUP(A91,Reference!$B$25:$H$390,3,FALSE),VLOOKUP(A91,Monitoring!$B$25:$H$390,3,FALSE)),'!'!$GJ$15)</f>
        <v>N</v>
      </c>
      <c r="E91" s="150"/>
      <c r="F91" s="254"/>
      <c r="G91" s="151" t="str">
        <f>IF(D91='!'!$GJ$15,'!'!$GJ$15,(SUM(W91,X91,Y91,Z90,Q91)))</f>
        <v>N</v>
      </c>
      <c r="H91" s="52"/>
      <c r="I91" s="299" t="str">
        <f>IF($I$12="","",IFERROR(IF(Report!$D$4='!'!$HE$4,VLOOKUP(A91,Reference!$B$25:$H$390,4,FALSE),VLOOKUP(A91,Monitoring!$B$25:$H$390,4,FALSE)),""))</f>
        <v/>
      </c>
      <c r="J91" s="256"/>
      <c r="K91" s="299" t="str">
        <f>IF($K$12="","",IFERROR(IF(Report!$D$4='!'!$HE$4,VLOOKUP(A91,Reference!$B$25:$H$390,5,FALSE),VLOOKUP(A91,Monitoring!$B$25:$H$390,5,FALSE)),""))</f>
        <v/>
      </c>
      <c r="L91" s="256"/>
      <c r="M91" s="299" t="str">
        <f>IF($M$12="","",IFERROR(IF(Report!$D$4='!'!$HE$4,VLOOKUP(A91,Reference!$B$25:$H$390,6,FALSE),VLOOKUP(A91,Monitoring!$B$25:$H$390,6,FALSE)),""))</f>
        <v/>
      </c>
      <c r="N91" s="256"/>
      <c r="O91" s="299" t="str">
        <f>IF($O$12="","",IFERROR(IF(Report!$D$4='!'!$HE$4,VLOOKUP(A91,Reference!$B$25:$H$390,7,FALSE),VLOOKUP(A91,Monitoring!$B$25:$H$390,7,FALSE)),""))</f>
        <v/>
      </c>
      <c r="P91" s="52"/>
      <c r="Q91" s="151" t="str">
        <f>IF(B91='!'!$GJ$15,'!'!$GJ$15,$Q$12)</f>
        <v>N</v>
      </c>
      <c r="S91" s="4" t="str">
        <f>IFERROR(ABS(T91),'!'!$GJ$15)</f>
        <v>N</v>
      </c>
      <c r="T91" s="84" t="str">
        <f>IFERROR(+G91-D91,'!'!$GJ$15)</f>
        <v>N</v>
      </c>
      <c r="U91" s="64" t="str">
        <f t="shared" si="3"/>
        <v>N</v>
      </c>
      <c r="W91" s="153" t="str">
        <f>IFERROR(I$10*I91,'!'!$GJ$15)</f>
        <v>N</v>
      </c>
      <c r="X91" s="153" t="str">
        <f>IFERROR(K$10*K91,'!'!$GJ$15)</f>
        <v>N</v>
      </c>
      <c r="Y91" s="153" t="str">
        <f>IFERROR(M$10*M91,'!'!$GJ$15)</f>
        <v>N</v>
      </c>
      <c r="Z91" s="153" t="str">
        <f>IFERROR(O$10*O92,'!'!$GJ$15)</f>
        <v>N</v>
      </c>
    </row>
    <row r="92" spans="1:26" x14ac:dyDescent="0.35">
      <c r="A92" s="4">
        <f t="shared" si="2"/>
        <v>68</v>
      </c>
      <c r="B92" s="286" t="str">
        <f>IFERROR(IF(Report!$D$4='!'!$HE$4,VLOOKUP(A92,Reference!$B$25:$H$390,2,FALSE),VLOOKUP(A92,Monitoring!$B$25:$H$390,2,FALSE)),'!'!$GJ$15)</f>
        <v>N</v>
      </c>
      <c r="C92" s="58" t="str">
        <f>Reference!A92</f>
        <v/>
      </c>
      <c r="D92" s="287" t="str">
        <f>IFERROR(IF(Report!$D$4='!'!$HE$4,VLOOKUP(A92,Reference!$B$25:$H$390,3,FALSE),VLOOKUP(A92,Monitoring!$B$25:$H$390,3,FALSE)),'!'!$GJ$15)</f>
        <v>N</v>
      </c>
      <c r="E92" s="150"/>
      <c r="F92" s="254"/>
      <c r="G92" s="151" t="str">
        <f>IF(D92='!'!$GJ$15,'!'!$GJ$15,(SUM(W92,X92,Y92,Z91,Q92)))</f>
        <v>N</v>
      </c>
      <c r="H92" s="52"/>
      <c r="I92" s="299" t="str">
        <f>IF($I$12="","",IFERROR(IF(Report!$D$4='!'!$HE$4,VLOOKUP(A92,Reference!$B$25:$H$390,4,FALSE),VLOOKUP(A92,Monitoring!$B$25:$H$390,4,FALSE)),""))</f>
        <v/>
      </c>
      <c r="J92" s="256"/>
      <c r="K92" s="299" t="str">
        <f>IF($K$12="","",IFERROR(IF(Report!$D$4='!'!$HE$4,VLOOKUP(A92,Reference!$B$25:$H$390,5,FALSE),VLOOKUP(A92,Monitoring!$B$25:$H$390,5,FALSE)),""))</f>
        <v/>
      </c>
      <c r="L92" s="256"/>
      <c r="M92" s="299" t="str">
        <f>IF($M$12="","",IFERROR(IF(Report!$D$4='!'!$HE$4,VLOOKUP(A92,Reference!$B$25:$H$390,6,FALSE),VLOOKUP(A92,Monitoring!$B$25:$H$390,6,FALSE)),""))</f>
        <v/>
      </c>
      <c r="N92" s="256"/>
      <c r="O92" s="299" t="str">
        <f>IF($O$12="","",IFERROR(IF(Report!$D$4='!'!$HE$4,VLOOKUP(A92,Reference!$B$25:$H$390,7,FALSE),VLOOKUP(A92,Monitoring!$B$25:$H$390,7,FALSE)),""))</f>
        <v/>
      </c>
      <c r="P92" s="52"/>
      <c r="Q92" s="151" t="str">
        <f>IF(B92='!'!$GJ$15,'!'!$GJ$15,$Q$12)</f>
        <v>N</v>
      </c>
      <c r="S92" s="4" t="str">
        <f>IFERROR(ABS(T92),'!'!$GJ$15)</f>
        <v>N</v>
      </c>
      <c r="T92" s="84" t="str">
        <f>IFERROR(+G92-D92,'!'!$GJ$15)</f>
        <v>N</v>
      </c>
      <c r="U92" s="64" t="str">
        <f t="shared" si="3"/>
        <v>N</v>
      </c>
      <c r="W92" s="153" t="str">
        <f>IFERROR(I$10*I92,'!'!$GJ$15)</f>
        <v>N</v>
      </c>
      <c r="X92" s="153" t="str">
        <f>IFERROR(K$10*K92,'!'!$GJ$15)</f>
        <v>N</v>
      </c>
      <c r="Y92" s="153" t="str">
        <f>IFERROR(M$10*M92,'!'!$GJ$15)</f>
        <v>N</v>
      </c>
      <c r="Z92" s="153" t="str">
        <f>IFERROR(O$10*O93,'!'!$GJ$15)</f>
        <v>N</v>
      </c>
    </row>
    <row r="93" spans="1:26" x14ac:dyDescent="0.35">
      <c r="A93" s="4">
        <f t="shared" si="2"/>
        <v>69</v>
      </c>
      <c r="B93" s="286" t="str">
        <f>IFERROR(IF(Report!$D$4='!'!$HE$4,VLOOKUP(A93,Reference!$B$25:$H$390,2,FALSE),VLOOKUP(A93,Monitoring!$B$25:$H$390,2,FALSE)),'!'!$GJ$15)</f>
        <v>N</v>
      </c>
      <c r="C93" s="58" t="str">
        <f>Reference!A93</f>
        <v/>
      </c>
      <c r="D93" s="287" t="str">
        <f>IFERROR(IF(Report!$D$4='!'!$HE$4,VLOOKUP(A93,Reference!$B$25:$H$390,3,FALSE),VLOOKUP(A93,Monitoring!$B$25:$H$390,3,FALSE)),'!'!$GJ$15)</f>
        <v>N</v>
      </c>
      <c r="E93" s="150"/>
      <c r="F93" s="254"/>
      <c r="G93" s="151" t="str">
        <f>IF(D93='!'!$GJ$15,'!'!$GJ$15,(SUM(W93,X93,Y93,Z92,Q93)))</f>
        <v>N</v>
      </c>
      <c r="H93" s="52"/>
      <c r="I93" s="299" t="str">
        <f>IF($I$12="","",IFERROR(IF(Report!$D$4='!'!$HE$4,VLOOKUP(A93,Reference!$B$25:$H$390,4,FALSE),VLOOKUP(A93,Monitoring!$B$25:$H$390,4,FALSE)),""))</f>
        <v/>
      </c>
      <c r="J93" s="256"/>
      <c r="K93" s="299" t="str">
        <f>IF($K$12="","",IFERROR(IF(Report!$D$4='!'!$HE$4,VLOOKUP(A93,Reference!$B$25:$H$390,5,FALSE),VLOOKUP(A93,Monitoring!$B$25:$H$390,5,FALSE)),""))</f>
        <v/>
      </c>
      <c r="L93" s="256"/>
      <c r="M93" s="299" t="str">
        <f>IF($M$12="","",IFERROR(IF(Report!$D$4='!'!$HE$4,VLOOKUP(A93,Reference!$B$25:$H$390,6,FALSE),VLOOKUP(A93,Monitoring!$B$25:$H$390,6,FALSE)),""))</f>
        <v/>
      </c>
      <c r="N93" s="256"/>
      <c r="O93" s="299" t="str">
        <f>IF($O$12="","",IFERROR(IF(Report!$D$4='!'!$HE$4,VLOOKUP(A93,Reference!$B$25:$H$390,7,FALSE),VLOOKUP(A93,Monitoring!$B$25:$H$390,7,FALSE)),""))</f>
        <v/>
      </c>
      <c r="P93" s="52"/>
      <c r="Q93" s="151" t="str">
        <f>IF(B93='!'!$GJ$15,'!'!$GJ$15,$Q$12)</f>
        <v>N</v>
      </c>
      <c r="S93" s="4" t="str">
        <f>IFERROR(ABS(T93),'!'!$GJ$15)</f>
        <v>N</v>
      </c>
      <c r="T93" s="84" t="str">
        <f>IFERROR(+G93-D93,'!'!$GJ$15)</f>
        <v>N</v>
      </c>
      <c r="U93" s="64" t="str">
        <f t="shared" si="3"/>
        <v>N</v>
      </c>
      <c r="W93" s="153" t="str">
        <f>IFERROR(I$10*I93,'!'!$GJ$15)</f>
        <v>N</v>
      </c>
      <c r="X93" s="153" t="str">
        <f>IFERROR(K$10*K93,'!'!$GJ$15)</f>
        <v>N</v>
      </c>
      <c r="Y93" s="153" t="str">
        <f>IFERROR(M$10*M93,'!'!$GJ$15)</f>
        <v>N</v>
      </c>
      <c r="Z93" s="153" t="str">
        <f>IFERROR(O$10*O94,'!'!$GJ$15)</f>
        <v>N</v>
      </c>
    </row>
    <row r="94" spans="1:26" x14ac:dyDescent="0.35">
      <c r="A94" s="4">
        <f t="shared" si="2"/>
        <v>70</v>
      </c>
      <c r="B94" s="286" t="str">
        <f>IFERROR(IF(Report!$D$4='!'!$HE$4,VLOOKUP(A94,Reference!$B$25:$H$390,2,FALSE),VLOOKUP(A94,Monitoring!$B$25:$H$390,2,FALSE)),'!'!$GJ$15)</f>
        <v>N</v>
      </c>
      <c r="C94" s="58" t="str">
        <f>Reference!A94</f>
        <v/>
      </c>
      <c r="D94" s="287" t="str">
        <f>IFERROR(IF(Report!$D$4='!'!$HE$4,VLOOKUP(A94,Reference!$B$25:$H$390,3,FALSE),VLOOKUP(A94,Monitoring!$B$25:$H$390,3,FALSE)),'!'!$GJ$15)</f>
        <v>N</v>
      </c>
      <c r="E94" s="150"/>
      <c r="F94" s="254"/>
      <c r="G94" s="151" t="str">
        <f>IF(D94='!'!$GJ$15,'!'!$GJ$15,(SUM(W94,X94,Y94,Z93,Q94)))</f>
        <v>N</v>
      </c>
      <c r="H94" s="52"/>
      <c r="I94" s="299" t="str">
        <f>IF($I$12="","",IFERROR(IF(Report!$D$4='!'!$HE$4,VLOOKUP(A94,Reference!$B$25:$H$390,4,FALSE),VLOOKUP(A94,Monitoring!$B$25:$H$390,4,FALSE)),""))</f>
        <v/>
      </c>
      <c r="J94" s="256"/>
      <c r="K94" s="299" t="str">
        <f>IF($K$12="","",IFERROR(IF(Report!$D$4='!'!$HE$4,VLOOKUP(A94,Reference!$B$25:$H$390,5,FALSE),VLOOKUP(A94,Monitoring!$B$25:$H$390,5,FALSE)),""))</f>
        <v/>
      </c>
      <c r="L94" s="256"/>
      <c r="M94" s="299" t="str">
        <f>IF($M$12="","",IFERROR(IF(Report!$D$4='!'!$HE$4,VLOOKUP(A94,Reference!$B$25:$H$390,6,FALSE),VLOOKUP(A94,Monitoring!$B$25:$H$390,6,FALSE)),""))</f>
        <v/>
      </c>
      <c r="N94" s="256"/>
      <c r="O94" s="299" t="str">
        <f>IF($O$12="","",IFERROR(IF(Report!$D$4='!'!$HE$4,VLOOKUP(A94,Reference!$B$25:$H$390,7,FALSE),VLOOKUP(A94,Monitoring!$B$25:$H$390,7,FALSE)),""))</f>
        <v/>
      </c>
      <c r="P94" s="52"/>
      <c r="Q94" s="151" t="str">
        <f>IF(B94='!'!$GJ$15,'!'!$GJ$15,$Q$12)</f>
        <v>N</v>
      </c>
      <c r="S94" s="4" t="str">
        <f>IFERROR(ABS(T94),'!'!$GJ$15)</f>
        <v>N</v>
      </c>
      <c r="T94" s="84" t="str">
        <f>IFERROR(+G94-D94,'!'!$GJ$15)</f>
        <v>N</v>
      </c>
      <c r="U94" s="64" t="str">
        <f t="shared" si="3"/>
        <v>N</v>
      </c>
      <c r="W94" s="153" t="str">
        <f>IFERROR(I$10*I94,'!'!$GJ$15)</f>
        <v>N</v>
      </c>
      <c r="X94" s="153" t="str">
        <f>IFERROR(K$10*K94,'!'!$GJ$15)</f>
        <v>N</v>
      </c>
      <c r="Y94" s="153" t="str">
        <f>IFERROR(M$10*M94,'!'!$GJ$15)</f>
        <v>N</v>
      </c>
      <c r="Z94" s="153" t="str">
        <f>IFERROR(O$10*O95,'!'!$GJ$15)</f>
        <v>N</v>
      </c>
    </row>
    <row r="95" spans="1:26" x14ac:dyDescent="0.35">
      <c r="A95" s="4">
        <f t="shared" si="2"/>
        <v>71</v>
      </c>
      <c r="B95" s="286" t="str">
        <f>IFERROR(IF(Report!$D$4='!'!$HE$4,VLOOKUP(A95,Reference!$B$25:$H$390,2,FALSE),VLOOKUP(A95,Monitoring!$B$25:$H$390,2,FALSE)),'!'!$GJ$15)</f>
        <v>N</v>
      </c>
      <c r="C95" s="58" t="str">
        <f>Reference!A95</f>
        <v/>
      </c>
      <c r="D95" s="287" t="str">
        <f>IFERROR(IF(Report!$D$4='!'!$HE$4,VLOOKUP(A95,Reference!$B$25:$H$390,3,FALSE),VLOOKUP(A95,Monitoring!$B$25:$H$390,3,FALSE)),'!'!$GJ$15)</f>
        <v>N</v>
      </c>
      <c r="E95" s="150"/>
      <c r="F95" s="254"/>
      <c r="G95" s="151" t="str">
        <f>IF(D95='!'!$GJ$15,'!'!$GJ$15,(SUM(W95,X95,Y95,Z94,Q95)))</f>
        <v>N</v>
      </c>
      <c r="H95" s="52"/>
      <c r="I95" s="299" t="str">
        <f>IF($I$12="","",IFERROR(IF(Report!$D$4='!'!$HE$4,VLOOKUP(A95,Reference!$B$25:$H$390,4,FALSE),VLOOKUP(A95,Monitoring!$B$25:$H$390,4,FALSE)),""))</f>
        <v/>
      </c>
      <c r="J95" s="256"/>
      <c r="K95" s="299" t="str">
        <f>IF($K$12="","",IFERROR(IF(Report!$D$4='!'!$HE$4,VLOOKUP(A95,Reference!$B$25:$H$390,5,FALSE),VLOOKUP(A95,Monitoring!$B$25:$H$390,5,FALSE)),""))</f>
        <v/>
      </c>
      <c r="L95" s="256"/>
      <c r="M95" s="299" t="str">
        <f>IF($M$12="","",IFERROR(IF(Report!$D$4='!'!$HE$4,VLOOKUP(A95,Reference!$B$25:$H$390,6,FALSE),VLOOKUP(A95,Monitoring!$B$25:$H$390,6,FALSE)),""))</f>
        <v/>
      </c>
      <c r="N95" s="256"/>
      <c r="O95" s="299" t="str">
        <f>IF($O$12="","",IFERROR(IF(Report!$D$4='!'!$HE$4,VLOOKUP(A95,Reference!$B$25:$H$390,7,FALSE),VLOOKUP(A95,Monitoring!$B$25:$H$390,7,FALSE)),""))</f>
        <v/>
      </c>
      <c r="P95" s="52"/>
      <c r="Q95" s="151" t="str">
        <f>IF(B95='!'!$GJ$15,'!'!$GJ$15,$Q$12)</f>
        <v>N</v>
      </c>
      <c r="S95" s="4" t="str">
        <f>IFERROR(ABS(T95),'!'!$GJ$15)</f>
        <v>N</v>
      </c>
      <c r="T95" s="84" t="str">
        <f>IFERROR(+G95-D95,'!'!$GJ$15)</f>
        <v>N</v>
      </c>
      <c r="U95" s="64" t="str">
        <f t="shared" si="3"/>
        <v>N</v>
      </c>
      <c r="W95" s="153" t="str">
        <f>IFERROR(I$10*I95,'!'!$GJ$15)</f>
        <v>N</v>
      </c>
      <c r="X95" s="153" t="str">
        <f>IFERROR(K$10*K95,'!'!$GJ$15)</f>
        <v>N</v>
      </c>
      <c r="Y95" s="153" t="str">
        <f>IFERROR(M$10*M95,'!'!$GJ$15)</f>
        <v>N</v>
      </c>
      <c r="Z95" s="153" t="str">
        <f>IFERROR(O$10*O96,'!'!$GJ$15)</f>
        <v>N</v>
      </c>
    </row>
    <row r="96" spans="1:26" x14ac:dyDescent="0.35">
      <c r="A96" s="4">
        <f t="shared" si="2"/>
        <v>72</v>
      </c>
      <c r="B96" s="286" t="str">
        <f>IFERROR(IF(Report!$D$4='!'!$HE$4,VLOOKUP(A96,Reference!$B$25:$H$390,2,FALSE),VLOOKUP(A96,Monitoring!$B$25:$H$390,2,FALSE)),'!'!$GJ$15)</f>
        <v>N</v>
      </c>
      <c r="C96" s="58" t="str">
        <f>Reference!A96</f>
        <v/>
      </c>
      <c r="D96" s="287" t="str">
        <f>IFERROR(IF(Report!$D$4='!'!$HE$4,VLOOKUP(A96,Reference!$B$25:$H$390,3,FALSE),VLOOKUP(A96,Monitoring!$B$25:$H$390,3,FALSE)),'!'!$GJ$15)</f>
        <v>N</v>
      </c>
      <c r="E96" s="150"/>
      <c r="F96" s="254"/>
      <c r="G96" s="151" t="str">
        <f>IF(D96='!'!$GJ$15,'!'!$GJ$15,(SUM(W96,X96,Y96,Z95,Q96)))</f>
        <v>N</v>
      </c>
      <c r="H96" s="52"/>
      <c r="I96" s="299" t="str">
        <f>IF($I$12="","",IFERROR(IF(Report!$D$4='!'!$HE$4,VLOOKUP(A96,Reference!$B$25:$H$390,4,FALSE),VLOOKUP(A96,Monitoring!$B$25:$H$390,4,FALSE)),""))</f>
        <v/>
      </c>
      <c r="J96" s="256"/>
      <c r="K96" s="299" t="str">
        <f>IF($K$12="","",IFERROR(IF(Report!$D$4='!'!$HE$4,VLOOKUP(A96,Reference!$B$25:$H$390,5,FALSE),VLOOKUP(A96,Monitoring!$B$25:$H$390,5,FALSE)),""))</f>
        <v/>
      </c>
      <c r="L96" s="256"/>
      <c r="M96" s="299" t="str">
        <f>IF($M$12="","",IFERROR(IF(Report!$D$4='!'!$HE$4,VLOOKUP(A96,Reference!$B$25:$H$390,6,FALSE),VLOOKUP(A96,Monitoring!$B$25:$H$390,6,FALSE)),""))</f>
        <v/>
      </c>
      <c r="N96" s="256"/>
      <c r="O96" s="299" t="str">
        <f>IF($O$12="","",IFERROR(IF(Report!$D$4='!'!$HE$4,VLOOKUP(A96,Reference!$B$25:$H$390,7,FALSE),VLOOKUP(A96,Monitoring!$B$25:$H$390,7,FALSE)),""))</f>
        <v/>
      </c>
      <c r="P96" s="52"/>
      <c r="Q96" s="151" t="str">
        <f>IF(B96='!'!$GJ$15,'!'!$GJ$15,$Q$12)</f>
        <v>N</v>
      </c>
      <c r="S96" s="4" t="str">
        <f>IFERROR(ABS(T96),'!'!$GJ$15)</f>
        <v>N</v>
      </c>
      <c r="T96" s="84" t="str">
        <f>IFERROR(+G96-D96,'!'!$GJ$15)</f>
        <v>N</v>
      </c>
      <c r="U96" s="64" t="str">
        <f t="shared" si="3"/>
        <v>N</v>
      </c>
      <c r="W96" s="153" t="str">
        <f>IFERROR(I$10*I96,'!'!$GJ$15)</f>
        <v>N</v>
      </c>
      <c r="X96" s="153" t="str">
        <f>IFERROR(K$10*K96,'!'!$GJ$15)</f>
        <v>N</v>
      </c>
      <c r="Y96" s="153" t="str">
        <f>IFERROR(M$10*M96,'!'!$GJ$15)</f>
        <v>N</v>
      </c>
      <c r="Z96" s="153" t="str">
        <f>IFERROR(O$10*O97,'!'!$GJ$15)</f>
        <v>N</v>
      </c>
    </row>
    <row r="97" spans="1:26" x14ac:dyDescent="0.35">
      <c r="A97" s="4">
        <f t="shared" si="2"/>
        <v>73</v>
      </c>
      <c r="B97" s="286" t="str">
        <f>IFERROR(IF(Report!$D$4='!'!$HE$4,VLOOKUP(A97,Reference!$B$25:$H$390,2,FALSE),VLOOKUP(A97,Monitoring!$B$25:$H$390,2,FALSE)),'!'!$GJ$15)</f>
        <v>N</v>
      </c>
      <c r="C97" s="58" t="str">
        <f>Reference!A97</f>
        <v/>
      </c>
      <c r="D97" s="287" t="str">
        <f>IFERROR(IF(Report!$D$4='!'!$HE$4,VLOOKUP(A97,Reference!$B$25:$H$390,3,FALSE),VLOOKUP(A97,Monitoring!$B$25:$H$390,3,FALSE)),'!'!$GJ$15)</f>
        <v>N</v>
      </c>
      <c r="E97" s="150"/>
      <c r="F97" s="254"/>
      <c r="G97" s="151" t="str">
        <f>IF(D97='!'!$GJ$15,'!'!$GJ$15,(SUM(W97,X97,Y97,Z96,Q97)))</f>
        <v>N</v>
      </c>
      <c r="H97" s="52"/>
      <c r="I97" s="299" t="str">
        <f>IF($I$12="","",IFERROR(IF(Report!$D$4='!'!$HE$4,VLOOKUP(A97,Reference!$B$25:$H$390,4,FALSE),VLOOKUP(A97,Monitoring!$B$25:$H$390,4,FALSE)),""))</f>
        <v/>
      </c>
      <c r="J97" s="256"/>
      <c r="K97" s="299" t="str">
        <f>IF($K$12="","",IFERROR(IF(Report!$D$4='!'!$HE$4,VLOOKUP(A97,Reference!$B$25:$H$390,5,FALSE),VLOOKUP(A97,Monitoring!$B$25:$H$390,5,FALSE)),""))</f>
        <v/>
      </c>
      <c r="L97" s="256"/>
      <c r="M97" s="299" t="str">
        <f>IF($M$12="","",IFERROR(IF(Report!$D$4='!'!$HE$4,VLOOKUP(A97,Reference!$B$25:$H$390,6,FALSE),VLOOKUP(A97,Monitoring!$B$25:$H$390,6,FALSE)),""))</f>
        <v/>
      </c>
      <c r="N97" s="256"/>
      <c r="O97" s="299" t="str">
        <f>IF($O$12="","",IFERROR(IF(Report!$D$4='!'!$HE$4,VLOOKUP(A97,Reference!$B$25:$H$390,7,FALSE),VLOOKUP(A97,Monitoring!$B$25:$H$390,7,FALSE)),""))</f>
        <v/>
      </c>
      <c r="P97" s="52"/>
      <c r="Q97" s="151" t="str">
        <f>IF(B97='!'!$GJ$15,'!'!$GJ$15,$Q$12)</f>
        <v>N</v>
      </c>
      <c r="S97" s="4" t="str">
        <f>IFERROR(ABS(T97),'!'!$GJ$15)</f>
        <v>N</v>
      </c>
      <c r="T97" s="84" t="str">
        <f>IFERROR(+G97-D97,'!'!$GJ$15)</f>
        <v>N</v>
      </c>
      <c r="U97" s="64" t="str">
        <f t="shared" si="3"/>
        <v>N</v>
      </c>
      <c r="W97" s="153" t="str">
        <f>IFERROR(I$10*I97,'!'!$GJ$15)</f>
        <v>N</v>
      </c>
      <c r="X97" s="153" t="str">
        <f>IFERROR(K$10*K97,'!'!$GJ$15)</f>
        <v>N</v>
      </c>
      <c r="Y97" s="153" t="str">
        <f>IFERROR(M$10*M97,'!'!$GJ$15)</f>
        <v>N</v>
      </c>
      <c r="Z97" s="153" t="str">
        <f>IFERROR(O$10*O98,'!'!$GJ$15)</f>
        <v>N</v>
      </c>
    </row>
    <row r="98" spans="1:26" x14ac:dyDescent="0.35">
      <c r="A98" s="4">
        <f t="shared" si="2"/>
        <v>74</v>
      </c>
      <c r="B98" s="286" t="str">
        <f>IFERROR(IF(Report!$D$4='!'!$HE$4,VLOOKUP(A98,Reference!$B$25:$H$390,2,FALSE),VLOOKUP(A98,Monitoring!$B$25:$H$390,2,FALSE)),'!'!$GJ$15)</f>
        <v>N</v>
      </c>
      <c r="C98" s="58" t="str">
        <f>Reference!A98</f>
        <v/>
      </c>
      <c r="D98" s="287" t="str">
        <f>IFERROR(IF(Report!$D$4='!'!$HE$4,VLOOKUP(A98,Reference!$B$25:$H$390,3,FALSE),VLOOKUP(A98,Monitoring!$B$25:$H$390,3,FALSE)),'!'!$GJ$15)</f>
        <v>N</v>
      </c>
      <c r="E98" s="150"/>
      <c r="F98" s="254"/>
      <c r="G98" s="151" t="str">
        <f>IF(D98='!'!$GJ$15,'!'!$GJ$15,(SUM(W98,X98,Y98,Z97,Q98)))</f>
        <v>N</v>
      </c>
      <c r="H98" s="52"/>
      <c r="I98" s="299" t="str">
        <f>IF($I$12="","",IFERROR(IF(Report!$D$4='!'!$HE$4,VLOOKUP(A98,Reference!$B$25:$H$390,4,FALSE),VLOOKUP(A98,Monitoring!$B$25:$H$390,4,FALSE)),""))</f>
        <v/>
      </c>
      <c r="J98" s="256"/>
      <c r="K98" s="299" t="str">
        <f>IF($K$12="","",IFERROR(IF(Report!$D$4='!'!$HE$4,VLOOKUP(A98,Reference!$B$25:$H$390,5,FALSE),VLOOKUP(A98,Monitoring!$B$25:$H$390,5,FALSE)),""))</f>
        <v/>
      </c>
      <c r="L98" s="256"/>
      <c r="M98" s="299" t="str">
        <f>IF($M$12="","",IFERROR(IF(Report!$D$4='!'!$HE$4,VLOOKUP(A98,Reference!$B$25:$H$390,6,FALSE),VLOOKUP(A98,Monitoring!$B$25:$H$390,6,FALSE)),""))</f>
        <v/>
      </c>
      <c r="N98" s="256"/>
      <c r="O98" s="299" t="str">
        <f>IF($O$12="","",IFERROR(IF(Report!$D$4='!'!$HE$4,VLOOKUP(A98,Reference!$B$25:$H$390,7,FALSE),VLOOKUP(A98,Monitoring!$B$25:$H$390,7,FALSE)),""))</f>
        <v/>
      </c>
      <c r="P98" s="52"/>
      <c r="Q98" s="151" t="str">
        <f>IF(B98='!'!$GJ$15,'!'!$GJ$15,$Q$12)</f>
        <v>N</v>
      </c>
      <c r="S98" s="4" t="str">
        <f>IFERROR(ABS(T98),'!'!$GJ$15)</f>
        <v>N</v>
      </c>
      <c r="T98" s="84" t="str">
        <f>IFERROR(+G98-D98,'!'!$GJ$15)</f>
        <v>N</v>
      </c>
      <c r="U98" s="64" t="str">
        <f t="shared" si="3"/>
        <v>N</v>
      </c>
      <c r="W98" s="153" t="str">
        <f>IFERROR(I$10*I98,'!'!$GJ$15)</f>
        <v>N</v>
      </c>
      <c r="X98" s="153" t="str">
        <f>IFERROR(K$10*K98,'!'!$GJ$15)</f>
        <v>N</v>
      </c>
      <c r="Y98" s="153" t="str">
        <f>IFERROR(M$10*M98,'!'!$GJ$15)</f>
        <v>N</v>
      </c>
      <c r="Z98" s="153" t="str">
        <f>IFERROR(O$10*O99,'!'!$GJ$15)</f>
        <v>N</v>
      </c>
    </row>
    <row r="99" spans="1:26" x14ac:dyDescent="0.35">
      <c r="A99" s="4">
        <f t="shared" si="2"/>
        <v>75</v>
      </c>
      <c r="B99" s="286" t="str">
        <f>IFERROR(IF(Report!$D$4='!'!$HE$4,VLOOKUP(A99,Reference!$B$25:$H$390,2,FALSE),VLOOKUP(A99,Monitoring!$B$25:$H$390,2,FALSE)),'!'!$GJ$15)</f>
        <v>N</v>
      </c>
      <c r="C99" s="58" t="str">
        <f>Reference!A99</f>
        <v/>
      </c>
      <c r="D99" s="287" t="str">
        <f>IFERROR(IF(Report!$D$4='!'!$HE$4,VLOOKUP(A99,Reference!$B$25:$H$390,3,FALSE),VLOOKUP(A99,Monitoring!$B$25:$H$390,3,FALSE)),'!'!$GJ$15)</f>
        <v>N</v>
      </c>
      <c r="E99" s="150"/>
      <c r="F99" s="254"/>
      <c r="G99" s="151" t="str">
        <f>IF(D99='!'!$GJ$15,'!'!$GJ$15,(SUM(W99,X99,Y99,Z98,Q99)))</f>
        <v>N</v>
      </c>
      <c r="H99" s="52"/>
      <c r="I99" s="299" t="str">
        <f>IF($I$12="","",IFERROR(IF(Report!$D$4='!'!$HE$4,VLOOKUP(A99,Reference!$B$25:$H$390,4,FALSE),VLOOKUP(A99,Monitoring!$B$25:$H$390,4,FALSE)),""))</f>
        <v/>
      </c>
      <c r="J99" s="256"/>
      <c r="K99" s="299" t="str">
        <f>IF($K$12="","",IFERROR(IF(Report!$D$4='!'!$HE$4,VLOOKUP(A99,Reference!$B$25:$H$390,5,FALSE),VLOOKUP(A99,Monitoring!$B$25:$H$390,5,FALSE)),""))</f>
        <v/>
      </c>
      <c r="L99" s="256"/>
      <c r="M99" s="299" t="str">
        <f>IF($M$12="","",IFERROR(IF(Report!$D$4='!'!$HE$4,VLOOKUP(A99,Reference!$B$25:$H$390,6,FALSE),VLOOKUP(A99,Monitoring!$B$25:$H$390,6,FALSE)),""))</f>
        <v/>
      </c>
      <c r="N99" s="256"/>
      <c r="O99" s="299" t="str">
        <f>IF($O$12="","",IFERROR(IF(Report!$D$4='!'!$HE$4,VLOOKUP(A99,Reference!$B$25:$H$390,7,FALSE),VLOOKUP(A99,Monitoring!$B$25:$H$390,7,FALSE)),""))</f>
        <v/>
      </c>
      <c r="P99" s="52"/>
      <c r="Q99" s="151" t="str">
        <f>IF(B99='!'!$GJ$15,'!'!$GJ$15,$Q$12)</f>
        <v>N</v>
      </c>
      <c r="S99" s="4" t="str">
        <f>IFERROR(ABS(T99),'!'!$GJ$15)</f>
        <v>N</v>
      </c>
      <c r="T99" s="84" t="str">
        <f>IFERROR(+G99-D99,'!'!$GJ$15)</f>
        <v>N</v>
      </c>
      <c r="U99" s="64" t="str">
        <f t="shared" si="3"/>
        <v>N</v>
      </c>
      <c r="W99" s="153" t="str">
        <f>IFERROR(I$10*I99,'!'!$GJ$15)</f>
        <v>N</v>
      </c>
      <c r="X99" s="153" t="str">
        <f>IFERROR(K$10*K99,'!'!$GJ$15)</f>
        <v>N</v>
      </c>
      <c r="Y99" s="153" t="str">
        <f>IFERROR(M$10*M99,'!'!$GJ$15)</f>
        <v>N</v>
      </c>
      <c r="Z99" s="153" t="str">
        <f>IFERROR(O$10*O100,'!'!$GJ$15)</f>
        <v>N</v>
      </c>
    </row>
    <row r="100" spans="1:26" x14ac:dyDescent="0.35">
      <c r="A100" s="4">
        <f t="shared" si="2"/>
        <v>76</v>
      </c>
      <c r="B100" s="286" t="str">
        <f>IFERROR(IF(Report!$D$4='!'!$HE$4,VLOOKUP(A100,Reference!$B$25:$H$390,2,FALSE),VLOOKUP(A100,Monitoring!$B$25:$H$390,2,FALSE)),'!'!$GJ$15)</f>
        <v>N</v>
      </c>
      <c r="C100" s="58" t="str">
        <f>Reference!A100</f>
        <v/>
      </c>
      <c r="D100" s="287" t="str">
        <f>IFERROR(IF(Report!$D$4='!'!$HE$4,VLOOKUP(A100,Reference!$B$25:$H$390,3,FALSE),VLOOKUP(A100,Monitoring!$B$25:$H$390,3,FALSE)),'!'!$GJ$15)</f>
        <v>N</v>
      </c>
      <c r="E100" s="150"/>
      <c r="F100" s="254"/>
      <c r="G100" s="151" t="str">
        <f>IF(D100='!'!$GJ$15,'!'!$GJ$15,(SUM(W100,X100,Y100,Z99,Q100)))</f>
        <v>N</v>
      </c>
      <c r="H100" s="52"/>
      <c r="I100" s="299" t="str">
        <f>IF($I$12="","",IFERROR(IF(Report!$D$4='!'!$HE$4,VLOOKUP(A100,Reference!$B$25:$H$390,4,FALSE),VLOOKUP(A100,Monitoring!$B$25:$H$390,4,FALSE)),""))</f>
        <v/>
      </c>
      <c r="J100" s="256"/>
      <c r="K100" s="299" t="str">
        <f>IF($K$12="","",IFERROR(IF(Report!$D$4='!'!$HE$4,VLOOKUP(A100,Reference!$B$25:$H$390,5,FALSE),VLOOKUP(A100,Monitoring!$B$25:$H$390,5,FALSE)),""))</f>
        <v/>
      </c>
      <c r="L100" s="256"/>
      <c r="M100" s="299" t="str">
        <f>IF($M$12="","",IFERROR(IF(Report!$D$4='!'!$HE$4,VLOOKUP(A100,Reference!$B$25:$H$390,6,FALSE),VLOOKUP(A100,Monitoring!$B$25:$H$390,6,FALSE)),""))</f>
        <v/>
      </c>
      <c r="N100" s="256"/>
      <c r="O100" s="299" t="str">
        <f>IF($O$12="","",IFERROR(IF(Report!$D$4='!'!$HE$4,VLOOKUP(A100,Reference!$B$25:$H$390,7,FALSE),VLOOKUP(A100,Monitoring!$B$25:$H$390,7,FALSE)),""))</f>
        <v/>
      </c>
      <c r="P100" s="52"/>
      <c r="Q100" s="151" t="str">
        <f>IF(B100='!'!$GJ$15,'!'!$GJ$15,$Q$12)</f>
        <v>N</v>
      </c>
      <c r="S100" s="4" t="str">
        <f>IFERROR(ABS(T100),'!'!$GJ$15)</f>
        <v>N</v>
      </c>
      <c r="T100" s="84" t="str">
        <f>IFERROR(+G100-D100,'!'!$GJ$15)</f>
        <v>N</v>
      </c>
      <c r="U100" s="64" t="str">
        <f t="shared" si="3"/>
        <v>N</v>
      </c>
      <c r="W100" s="153" t="str">
        <f>IFERROR(I$10*I100,'!'!$GJ$15)</f>
        <v>N</v>
      </c>
      <c r="X100" s="153" t="str">
        <f>IFERROR(K$10*K100,'!'!$GJ$15)</f>
        <v>N</v>
      </c>
      <c r="Y100" s="153" t="str">
        <f>IFERROR(M$10*M100,'!'!$GJ$15)</f>
        <v>N</v>
      </c>
      <c r="Z100" s="153" t="str">
        <f>IFERROR(O$10*O101,'!'!$GJ$15)</f>
        <v>N</v>
      </c>
    </row>
    <row r="101" spans="1:26" x14ac:dyDescent="0.35">
      <c r="A101" s="4">
        <f t="shared" si="2"/>
        <v>77</v>
      </c>
      <c r="B101" s="286" t="str">
        <f>IFERROR(IF(Report!$D$4='!'!$HE$4,VLOOKUP(A101,Reference!$B$25:$H$390,2,FALSE),VLOOKUP(A101,Monitoring!$B$25:$H$390,2,FALSE)),'!'!$GJ$15)</f>
        <v>N</v>
      </c>
      <c r="C101" s="58" t="str">
        <f>Reference!A101</f>
        <v/>
      </c>
      <c r="D101" s="287" t="str">
        <f>IFERROR(IF(Report!$D$4='!'!$HE$4,VLOOKUP(A101,Reference!$B$25:$H$390,3,FALSE),VLOOKUP(A101,Monitoring!$B$25:$H$390,3,FALSE)),'!'!$GJ$15)</f>
        <v>N</v>
      </c>
      <c r="E101" s="150"/>
      <c r="F101" s="254"/>
      <c r="G101" s="151" t="str">
        <f>IF(D101='!'!$GJ$15,'!'!$GJ$15,(SUM(W101,X101,Y101,Z100,Q101)))</f>
        <v>N</v>
      </c>
      <c r="H101" s="52"/>
      <c r="I101" s="299" t="str">
        <f>IF($I$12="","",IFERROR(IF(Report!$D$4='!'!$HE$4,VLOOKUP(A101,Reference!$B$25:$H$390,4,FALSE),VLOOKUP(A101,Monitoring!$B$25:$H$390,4,FALSE)),""))</f>
        <v/>
      </c>
      <c r="J101" s="256"/>
      <c r="K101" s="299" t="str">
        <f>IF($K$12="","",IFERROR(IF(Report!$D$4='!'!$HE$4,VLOOKUP(A101,Reference!$B$25:$H$390,5,FALSE),VLOOKUP(A101,Monitoring!$B$25:$H$390,5,FALSE)),""))</f>
        <v/>
      </c>
      <c r="L101" s="256"/>
      <c r="M101" s="299" t="str">
        <f>IF($M$12="","",IFERROR(IF(Report!$D$4='!'!$HE$4,VLOOKUP(A101,Reference!$B$25:$H$390,6,FALSE),VLOOKUP(A101,Monitoring!$B$25:$H$390,6,FALSE)),""))</f>
        <v/>
      </c>
      <c r="N101" s="256"/>
      <c r="O101" s="299" t="str">
        <f>IF($O$12="","",IFERROR(IF(Report!$D$4='!'!$HE$4,VLOOKUP(A101,Reference!$B$25:$H$390,7,FALSE),VLOOKUP(A101,Monitoring!$B$25:$H$390,7,FALSE)),""))</f>
        <v/>
      </c>
      <c r="P101" s="52"/>
      <c r="Q101" s="151" t="str">
        <f>IF(B101='!'!$GJ$15,'!'!$GJ$15,$Q$12)</f>
        <v>N</v>
      </c>
      <c r="S101" s="4" t="str">
        <f>IFERROR(ABS(T101),'!'!$GJ$15)</f>
        <v>N</v>
      </c>
      <c r="T101" s="84" t="str">
        <f>IFERROR(+G101-D101,'!'!$GJ$15)</f>
        <v>N</v>
      </c>
      <c r="U101" s="64" t="str">
        <f t="shared" si="3"/>
        <v>N</v>
      </c>
      <c r="W101" s="153" t="str">
        <f>IFERROR(I$10*I101,'!'!$GJ$15)</f>
        <v>N</v>
      </c>
      <c r="X101" s="153" t="str">
        <f>IFERROR(K$10*K101,'!'!$GJ$15)</f>
        <v>N</v>
      </c>
      <c r="Y101" s="153" t="str">
        <f>IFERROR(M$10*M101,'!'!$GJ$15)</f>
        <v>N</v>
      </c>
      <c r="Z101" s="153" t="str">
        <f>IFERROR(O$10*O102,'!'!$GJ$15)</f>
        <v>N</v>
      </c>
    </row>
    <row r="102" spans="1:26" x14ac:dyDescent="0.35">
      <c r="A102" s="4">
        <f t="shared" si="2"/>
        <v>78</v>
      </c>
      <c r="B102" s="286" t="str">
        <f>IFERROR(IF(Report!$D$4='!'!$HE$4,VLOOKUP(A102,Reference!$B$25:$H$390,2,FALSE),VLOOKUP(A102,Monitoring!$B$25:$H$390,2,FALSE)),'!'!$GJ$15)</f>
        <v>N</v>
      </c>
      <c r="C102" s="58" t="str">
        <f>Reference!A102</f>
        <v/>
      </c>
      <c r="D102" s="287" t="str">
        <f>IFERROR(IF(Report!$D$4='!'!$HE$4,VLOOKUP(A102,Reference!$B$25:$H$390,3,FALSE),VLOOKUP(A102,Monitoring!$B$25:$H$390,3,FALSE)),'!'!$GJ$15)</f>
        <v>N</v>
      </c>
      <c r="E102" s="150"/>
      <c r="F102" s="254"/>
      <c r="G102" s="151" t="str">
        <f>IF(D102='!'!$GJ$15,'!'!$GJ$15,(SUM(W102,X102,Y102,Z101,Q102)))</f>
        <v>N</v>
      </c>
      <c r="H102" s="52"/>
      <c r="I102" s="299" t="str">
        <f>IF($I$12="","",IFERROR(IF(Report!$D$4='!'!$HE$4,VLOOKUP(A102,Reference!$B$25:$H$390,4,FALSE),VLOOKUP(A102,Monitoring!$B$25:$H$390,4,FALSE)),""))</f>
        <v/>
      </c>
      <c r="J102" s="256"/>
      <c r="K102" s="299" t="str">
        <f>IF($K$12="","",IFERROR(IF(Report!$D$4='!'!$HE$4,VLOOKUP(A102,Reference!$B$25:$H$390,5,FALSE),VLOOKUP(A102,Monitoring!$B$25:$H$390,5,FALSE)),""))</f>
        <v/>
      </c>
      <c r="L102" s="256"/>
      <c r="M102" s="299" t="str">
        <f>IF($M$12="","",IFERROR(IF(Report!$D$4='!'!$HE$4,VLOOKUP(A102,Reference!$B$25:$H$390,6,FALSE),VLOOKUP(A102,Monitoring!$B$25:$H$390,6,FALSE)),""))</f>
        <v/>
      </c>
      <c r="N102" s="256"/>
      <c r="O102" s="299" t="str">
        <f>IF($O$12="","",IFERROR(IF(Report!$D$4='!'!$HE$4,VLOOKUP(A102,Reference!$B$25:$H$390,7,FALSE),VLOOKUP(A102,Monitoring!$B$25:$H$390,7,FALSE)),""))</f>
        <v/>
      </c>
      <c r="P102" s="52"/>
      <c r="Q102" s="151" t="str">
        <f>IF(B102='!'!$GJ$15,'!'!$GJ$15,$Q$12)</f>
        <v>N</v>
      </c>
      <c r="S102" s="4" t="str">
        <f>IFERROR(ABS(T102),'!'!$GJ$15)</f>
        <v>N</v>
      </c>
      <c r="T102" s="84" t="str">
        <f>IFERROR(+G102-D102,'!'!$GJ$15)</f>
        <v>N</v>
      </c>
      <c r="U102" s="64" t="str">
        <f t="shared" si="3"/>
        <v>N</v>
      </c>
      <c r="W102" s="153" t="str">
        <f>IFERROR(I$10*I102,'!'!$GJ$15)</f>
        <v>N</v>
      </c>
      <c r="X102" s="153" t="str">
        <f>IFERROR(K$10*K102,'!'!$GJ$15)</f>
        <v>N</v>
      </c>
      <c r="Y102" s="153" t="str">
        <f>IFERROR(M$10*M102,'!'!$GJ$15)</f>
        <v>N</v>
      </c>
      <c r="Z102" s="153" t="str">
        <f>IFERROR(O$10*O103,'!'!$GJ$15)</f>
        <v>N</v>
      </c>
    </row>
    <row r="103" spans="1:26" x14ac:dyDescent="0.35">
      <c r="A103" s="4">
        <f t="shared" si="2"/>
        <v>79</v>
      </c>
      <c r="B103" s="286" t="str">
        <f>IFERROR(IF(Report!$D$4='!'!$HE$4,VLOOKUP(A103,Reference!$B$25:$H$390,2,FALSE),VLOOKUP(A103,Monitoring!$B$25:$H$390,2,FALSE)),'!'!$GJ$15)</f>
        <v>N</v>
      </c>
      <c r="C103" s="58" t="str">
        <f>Reference!A103</f>
        <v/>
      </c>
      <c r="D103" s="287" t="str">
        <f>IFERROR(IF(Report!$D$4='!'!$HE$4,VLOOKUP(A103,Reference!$B$25:$H$390,3,FALSE),VLOOKUP(A103,Monitoring!$B$25:$H$390,3,FALSE)),'!'!$GJ$15)</f>
        <v>N</v>
      </c>
      <c r="E103" s="150"/>
      <c r="F103" s="254"/>
      <c r="G103" s="151" t="str">
        <f>IF(D103='!'!$GJ$15,'!'!$GJ$15,(SUM(W103,X103,Y103,Z102,Q103)))</f>
        <v>N</v>
      </c>
      <c r="H103" s="52"/>
      <c r="I103" s="299" t="str">
        <f>IF($I$12="","",IFERROR(IF(Report!$D$4='!'!$HE$4,VLOOKUP(A103,Reference!$B$25:$H$390,4,FALSE),VLOOKUP(A103,Monitoring!$B$25:$H$390,4,FALSE)),""))</f>
        <v/>
      </c>
      <c r="J103" s="256"/>
      <c r="K103" s="299" t="str">
        <f>IF($K$12="","",IFERROR(IF(Report!$D$4='!'!$HE$4,VLOOKUP(A103,Reference!$B$25:$H$390,5,FALSE),VLOOKUP(A103,Monitoring!$B$25:$H$390,5,FALSE)),""))</f>
        <v/>
      </c>
      <c r="L103" s="256"/>
      <c r="M103" s="299" t="str">
        <f>IF($M$12="","",IFERROR(IF(Report!$D$4='!'!$HE$4,VLOOKUP(A103,Reference!$B$25:$H$390,6,FALSE),VLOOKUP(A103,Monitoring!$B$25:$H$390,6,FALSE)),""))</f>
        <v/>
      </c>
      <c r="N103" s="256"/>
      <c r="O103" s="299" t="str">
        <f>IF($O$12="","",IFERROR(IF(Report!$D$4='!'!$HE$4,VLOOKUP(A103,Reference!$B$25:$H$390,7,FALSE),VLOOKUP(A103,Monitoring!$B$25:$H$390,7,FALSE)),""))</f>
        <v/>
      </c>
      <c r="P103" s="52"/>
      <c r="Q103" s="151" t="str">
        <f>IF(B103='!'!$GJ$15,'!'!$GJ$15,$Q$12)</f>
        <v>N</v>
      </c>
      <c r="S103" s="4" t="str">
        <f>IFERROR(ABS(T103),'!'!$GJ$15)</f>
        <v>N</v>
      </c>
      <c r="T103" s="84" t="str">
        <f>IFERROR(+G103-D103,'!'!$GJ$15)</f>
        <v>N</v>
      </c>
      <c r="U103" s="64" t="str">
        <f t="shared" si="3"/>
        <v>N</v>
      </c>
      <c r="W103" s="153" t="str">
        <f>IFERROR(I$10*I103,'!'!$GJ$15)</f>
        <v>N</v>
      </c>
      <c r="X103" s="153" t="str">
        <f>IFERROR(K$10*K103,'!'!$GJ$15)</f>
        <v>N</v>
      </c>
      <c r="Y103" s="153" t="str">
        <f>IFERROR(M$10*M103,'!'!$GJ$15)</f>
        <v>N</v>
      </c>
      <c r="Z103" s="153" t="str">
        <f>IFERROR(O$10*O104,'!'!$GJ$15)</f>
        <v>N</v>
      </c>
    </row>
    <row r="104" spans="1:26" x14ac:dyDescent="0.35">
      <c r="A104" s="4">
        <f t="shared" si="2"/>
        <v>80</v>
      </c>
      <c r="B104" s="286" t="str">
        <f>IFERROR(IF(Report!$D$4='!'!$HE$4,VLOOKUP(A104,Reference!$B$25:$H$390,2,FALSE),VLOOKUP(A104,Monitoring!$B$25:$H$390,2,FALSE)),'!'!$GJ$15)</f>
        <v>N</v>
      </c>
      <c r="C104" s="58" t="str">
        <f>Reference!A104</f>
        <v/>
      </c>
      <c r="D104" s="287" t="str">
        <f>IFERROR(IF(Report!$D$4='!'!$HE$4,VLOOKUP(A104,Reference!$B$25:$H$390,3,FALSE),VLOOKUP(A104,Monitoring!$B$25:$H$390,3,FALSE)),'!'!$GJ$15)</f>
        <v>N</v>
      </c>
      <c r="E104" s="150"/>
      <c r="F104" s="254"/>
      <c r="G104" s="151" t="str">
        <f>IF(D104='!'!$GJ$15,'!'!$GJ$15,(SUM(W104,X104,Y104,Z103,Q104)))</f>
        <v>N</v>
      </c>
      <c r="H104" s="52"/>
      <c r="I104" s="299" t="str">
        <f>IF($I$12="","",IFERROR(IF(Report!$D$4='!'!$HE$4,VLOOKUP(A104,Reference!$B$25:$H$390,4,FALSE),VLOOKUP(A104,Monitoring!$B$25:$H$390,4,FALSE)),""))</f>
        <v/>
      </c>
      <c r="J104" s="256"/>
      <c r="K104" s="299" t="str">
        <f>IF($K$12="","",IFERROR(IF(Report!$D$4='!'!$HE$4,VLOOKUP(A104,Reference!$B$25:$H$390,5,FALSE),VLOOKUP(A104,Monitoring!$B$25:$H$390,5,FALSE)),""))</f>
        <v/>
      </c>
      <c r="L104" s="256"/>
      <c r="M104" s="299" t="str">
        <f>IF($M$12="","",IFERROR(IF(Report!$D$4='!'!$HE$4,VLOOKUP(A104,Reference!$B$25:$H$390,6,FALSE),VLOOKUP(A104,Monitoring!$B$25:$H$390,6,FALSE)),""))</f>
        <v/>
      </c>
      <c r="N104" s="256"/>
      <c r="O104" s="299" t="str">
        <f>IF($O$12="","",IFERROR(IF(Report!$D$4='!'!$HE$4,VLOOKUP(A104,Reference!$B$25:$H$390,7,FALSE),VLOOKUP(A104,Monitoring!$B$25:$H$390,7,FALSE)),""))</f>
        <v/>
      </c>
      <c r="P104" s="52"/>
      <c r="Q104" s="151" t="str">
        <f>IF(B104='!'!$GJ$15,'!'!$GJ$15,$Q$12)</f>
        <v>N</v>
      </c>
      <c r="S104" s="4" t="str">
        <f>IFERROR(ABS(T104),'!'!$GJ$15)</f>
        <v>N</v>
      </c>
      <c r="T104" s="84" t="str">
        <f>IFERROR(+G104-D104,'!'!$GJ$15)</f>
        <v>N</v>
      </c>
      <c r="U104" s="64" t="str">
        <f t="shared" si="3"/>
        <v>N</v>
      </c>
      <c r="W104" s="153" t="str">
        <f>IFERROR(I$10*I104,'!'!$GJ$15)</f>
        <v>N</v>
      </c>
      <c r="X104" s="153" t="str">
        <f>IFERROR(K$10*K104,'!'!$GJ$15)</f>
        <v>N</v>
      </c>
      <c r="Y104" s="153" t="str">
        <f>IFERROR(M$10*M104,'!'!$GJ$15)</f>
        <v>N</v>
      </c>
      <c r="Z104" s="153" t="str">
        <f>IFERROR(O$10*O105,'!'!$GJ$15)</f>
        <v>N</v>
      </c>
    </row>
    <row r="105" spans="1:26" x14ac:dyDescent="0.35">
      <c r="A105" s="4">
        <f t="shared" si="2"/>
        <v>81</v>
      </c>
      <c r="B105" s="286" t="str">
        <f>IFERROR(IF(Report!$D$4='!'!$HE$4,VLOOKUP(A105,Reference!$B$25:$H$390,2,FALSE),VLOOKUP(A105,Monitoring!$B$25:$H$390,2,FALSE)),'!'!$GJ$15)</f>
        <v>N</v>
      </c>
      <c r="C105" s="58" t="str">
        <f>Reference!A105</f>
        <v/>
      </c>
      <c r="D105" s="287" t="str">
        <f>IFERROR(IF(Report!$D$4='!'!$HE$4,VLOOKUP(A105,Reference!$B$25:$H$390,3,FALSE),VLOOKUP(A105,Monitoring!$B$25:$H$390,3,FALSE)),'!'!$GJ$15)</f>
        <v>N</v>
      </c>
      <c r="E105" s="150"/>
      <c r="F105" s="254"/>
      <c r="G105" s="151" t="str">
        <f>IF(D105='!'!$GJ$15,'!'!$GJ$15,(SUM(W105,X105,Y105,Z104,Q105)))</f>
        <v>N</v>
      </c>
      <c r="H105" s="52"/>
      <c r="I105" s="299" t="str">
        <f>IF($I$12="","",IFERROR(IF(Report!$D$4='!'!$HE$4,VLOOKUP(A105,Reference!$B$25:$H$390,4,FALSE),VLOOKUP(A105,Monitoring!$B$25:$H$390,4,FALSE)),""))</f>
        <v/>
      </c>
      <c r="J105" s="256"/>
      <c r="K105" s="299" t="str">
        <f>IF($K$12="","",IFERROR(IF(Report!$D$4='!'!$HE$4,VLOOKUP(A105,Reference!$B$25:$H$390,5,FALSE),VLOOKUP(A105,Monitoring!$B$25:$H$390,5,FALSE)),""))</f>
        <v/>
      </c>
      <c r="L105" s="256"/>
      <c r="M105" s="299" t="str">
        <f>IF($M$12="","",IFERROR(IF(Report!$D$4='!'!$HE$4,VLOOKUP(A105,Reference!$B$25:$H$390,6,FALSE),VLOOKUP(A105,Monitoring!$B$25:$H$390,6,FALSE)),""))</f>
        <v/>
      </c>
      <c r="N105" s="256"/>
      <c r="O105" s="299" t="str">
        <f>IF($O$12="","",IFERROR(IF(Report!$D$4='!'!$HE$4,VLOOKUP(A105,Reference!$B$25:$H$390,7,FALSE),VLOOKUP(A105,Monitoring!$B$25:$H$390,7,FALSE)),""))</f>
        <v/>
      </c>
      <c r="P105" s="52"/>
      <c r="Q105" s="151" t="str">
        <f>IF(B105='!'!$GJ$15,'!'!$GJ$15,$Q$12)</f>
        <v>N</v>
      </c>
      <c r="S105" s="4" t="str">
        <f>IFERROR(ABS(T105),'!'!$GJ$15)</f>
        <v>N</v>
      </c>
      <c r="T105" s="84" t="str">
        <f>IFERROR(+G105-D105,'!'!$GJ$15)</f>
        <v>N</v>
      </c>
      <c r="U105" s="64" t="str">
        <f t="shared" si="3"/>
        <v>N</v>
      </c>
      <c r="W105" s="153" t="str">
        <f>IFERROR(I$10*I105,'!'!$GJ$15)</f>
        <v>N</v>
      </c>
      <c r="X105" s="153" t="str">
        <f>IFERROR(K$10*K105,'!'!$GJ$15)</f>
        <v>N</v>
      </c>
      <c r="Y105" s="153" t="str">
        <f>IFERROR(M$10*M105,'!'!$GJ$15)</f>
        <v>N</v>
      </c>
      <c r="Z105" s="153" t="str">
        <f>IFERROR(O$10*O106,'!'!$GJ$15)</f>
        <v>N</v>
      </c>
    </row>
    <row r="106" spans="1:26" x14ac:dyDescent="0.35">
      <c r="A106" s="4">
        <f t="shared" si="2"/>
        <v>82</v>
      </c>
      <c r="B106" s="286" t="str">
        <f>IFERROR(IF(Report!$D$4='!'!$HE$4,VLOOKUP(A106,Reference!$B$25:$H$390,2,FALSE),VLOOKUP(A106,Monitoring!$B$25:$H$390,2,FALSE)),'!'!$GJ$15)</f>
        <v>N</v>
      </c>
      <c r="C106" s="58" t="str">
        <f>Reference!A106</f>
        <v/>
      </c>
      <c r="D106" s="287" t="str">
        <f>IFERROR(IF(Report!$D$4='!'!$HE$4,VLOOKUP(A106,Reference!$B$25:$H$390,3,FALSE),VLOOKUP(A106,Monitoring!$B$25:$H$390,3,FALSE)),'!'!$GJ$15)</f>
        <v>N</v>
      </c>
      <c r="E106" s="150"/>
      <c r="F106" s="254"/>
      <c r="G106" s="151" t="str">
        <f>IF(D106='!'!$GJ$15,'!'!$GJ$15,(SUM(W106,X106,Y106,Z105,Q106)))</f>
        <v>N</v>
      </c>
      <c r="H106" s="52"/>
      <c r="I106" s="299" t="str">
        <f>IF($I$12="","",IFERROR(IF(Report!$D$4='!'!$HE$4,VLOOKUP(A106,Reference!$B$25:$H$390,4,FALSE),VLOOKUP(A106,Monitoring!$B$25:$H$390,4,FALSE)),""))</f>
        <v/>
      </c>
      <c r="J106" s="256"/>
      <c r="K106" s="299" t="str">
        <f>IF($K$12="","",IFERROR(IF(Report!$D$4='!'!$HE$4,VLOOKUP(A106,Reference!$B$25:$H$390,5,FALSE),VLOOKUP(A106,Monitoring!$B$25:$H$390,5,FALSE)),""))</f>
        <v/>
      </c>
      <c r="L106" s="256"/>
      <c r="M106" s="299" t="str">
        <f>IF($M$12="","",IFERROR(IF(Report!$D$4='!'!$HE$4,VLOOKUP(A106,Reference!$B$25:$H$390,6,FALSE),VLOOKUP(A106,Monitoring!$B$25:$H$390,6,FALSE)),""))</f>
        <v/>
      </c>
      <c r="N106" s="256"/>
      <c r="O106" s="299" t="str">
        <f>IF($O$12="","",IFERROR(IF(Report!$D$4='!'!$HE$4,VLOOKUP(A106,Reference!$B$25:$H$390,7,FALSE),VLOOKUP(A106,Monitoring!$B$25:$H$390,7,FALSE)),""))</f>
        <v/>
      </c>
      <c r="P106" s="52"/>
      <c r="Q106" s="151" t="str">
        <f>IF(B106='!'!$GJ$15,'!'!$GJ$15,$Q$12)</f>
        <v>N</v>
      </c>
      <c r="S106" s="4" t="str">
        <f>IFERROR(ABS(T106),'!'!$GJ$15)</f>
        <v>N</v>
      </c>
      <c r="T106" s="84" t="str">
        <f>IFERROR(+G106-D106,'!'!$GJ$15)</f>
        <v>N</v>
      </c>
      <c r="U106" s="64" t="str">
        <f t="shared" si="3"/>
        <v>N</v>
      </c>
      <c r="W106" s="153" t="str">
        <f>IFERROR(I$10*I106,'!'!$GJ$15)</f>
        <v>N</v>
      </c>
      <c r="X106" s="153" t="str">
        <f>IFERROR(K$10*K106,'!'!$GJ$15)</f>
        <v>N</v>
      </c>
      <c r="Y106" s="153" t="str">
        <f>IFERROR(M$10*M106,'!'!$GJ$15)</f>
        <v>N</v>
      </c>
      <c r="Z106" s="153" t="str">
        <f>IFERROR(O$10*O107,'!'!$GJ$15)</f>
        <v>N</v>
      </c>
    </row>
    <row r="107" spans="1:26" x14ac:dyDescent="0.35">
      <c r="A107" s="4">
        <f t="shared" si="2"/>
        <v>83</v>
      </c>
      <c r="B107" s="286" t="str">
        <f>IFERROR(IF(Report!$D$4='!'!$HE$4,VLOOKUP(A107,Reference!$B$25:$H$390,2,FALSE),VLOOKUP(A107,Monitoring!$B$25:$H$390,2,FALSE)),'!'!$GJ$15)</f>
        <v>N</v>
      </c>
      <c r="C107" s="58" t="str">
        <f>Reference!A107</f>
        <v/>
      </c>
      <c r="D107" s="287" t="str">
        <f>IFERROR(IF(Report!$D$4='!'!$HE$4,VLOOKUP(A107,Reference!$B$25:$H$390,3,FALSE),VLOOKUP(A107,Monitoring!$B$25:$H$390,3,FALSE)),'!'!$GJ$15)</f>
        <v>N</v>
      </c>
      <c r="E107" s="150"/>
      <c r="F107" s="254"/>
      <c r="G107" s="151" t="str">
        <f>IF(D107='!'!$GJ$15,'!'!$GJ$15,(SUM(W107,X107,Y107,Z106,Q107)))</f>
        <v>N</v>
      </c>
      <c r="H107" s="52"/>
      <c r="I107" s="299" t="str">
        <f>IF($I$12="","",IFERROR(IF(Report!$D$4='!'!$HE$4,VLOOKUP(A107,Reference!$B$25:$H$390,4,FALSE),VLOOKUP(A107,Monitoring!$B$25:$H$390,4,FALSE)),""))</f>
        <v/>
      </c>
      <c r="J107" s="256"/>
      <c r="K107" s="299" t="str">
        <f>IF($K$12="","",IFERROR(IF(Report!$D$4='!'!$HE$4,VLOOKUP(A107,Reference!$B$25:$H$390,5,FALSE),VLOOKUP(A107,Monitoring!$B$25:$H$390,5,FALSE)),""))</f>
        <v/>
      </c>
      <c r="L107" s="256"/>
      <c r="M107" s="299" t="str">
        <f>IF($M$12="","",IFERROR(IF(Report!$D$4='!'!$HE$4,VLOOKUP(A107,Reference!$B$25:$H$390,6,FALSE),VLOOKUP(A107,Monitoring!$B$25:$H$390,6,FALSE)),""))</f>
        <v/>
      </c>
      <c r="N107" s="256"/>
      <c r="O107" s="299" t="str">
        <f>IF($O$12="","",IFERROR(IF(Report!$D$4='!'!$HE$4,VLOOKUP(A107,Reference!$B$25:$H$390,7,FALSE),VLOOKUP(A107,Monitoring!$B$25:$H$390,7,FALSE)),""))</f>
        <v/>
      </c>
      <c r="P107" s="52"/>
      <c r="Q107" s="151" t="str">
        <f>IF(B107='!'!$GJ$15,'!'!$GJ$15,$Q$12)</f>
        <v>N</v>
      </c>
      <c r="S107" s="4" t="str">
        <f>IFERROR(ABS(T107),'!'!$GJ$15)</f>
        <v>N</v>
      </c>
      <c r="T107" s="84" t="str">
        <f>IFERROR(+G107-D107,'!'!$GJ$15)</f>
        <v>N</v>
      </c>
      <c r="U107" s="64" t="str">
        <f t="shared" si="3"/>
        <v>N</v>
      </c>
      <c r="W107" s="153" t="str">
        <f>IFERROR(I$10*I107,'!'!$GJ$15)</f>
        <v>N</v>
      </c>
      <c r="X107" s="153" t="str">
        <f>IFERROR(K$10*K107,'!'!$GJ$15)</f>
        <v>N</v>
      </c>
      <c r="Y107" s="153" t="str">
        <f>IFERROR(M$10*M107,'!'!$GJ$15)</f>
        <v>N</v>
      </c>
      <c r="Z107" s="153" t="str">
        <f>IFERROR(O$10*O108,'!'!$GJ$15)</f>
        <v>N</v>
      </c>
    </row>
    <row r="108" spans="1:26" x14ac:dyDescent="0.35">
      <c r="A108" s="4">
        <f t="shared" si="2"/>
        <v>84</v>
      </c>
      <c r="B108" s="286" t="str">
        <f>IFERROR(IF(Report!$D$4='!'!$HE$4,VLOOKUP(A108,Reference!$B$25:$H$390,2,FALSE),VLOOKUP(A108,Monitoring!$B$25:$H$390,2,FALSE)),'!'!$GJ$15)</f>
        <v>N</v>
      </c>
      <c r="C108" s="58" t="str">
        <f>Reference!A108</f>
        <v/>
      </c>
      <c r="D108" s="287" t="str">
        <f>IFERROR(IF(Report!$D$4='!'!$HE$4,VLOOKUP(A108,Reference!$B$25:$H$390,3,FALSE),VLOOKUP(A108,Monitoring!$B$25:$H$390,3,FALSE)),'!'!$GJ$15)</f>
        <v>N</v>
      </c>
      <c r="E108" s="150"/>
      <c r="F108" s="254"/>
      <c r="G108" s="151" t="str">
        <f>IF(D108='!'!$GJ$15,'!'!$GJ$15,(SUM(W108,X108,Y108,Z107,Q108)))</f>
        <v>N</v>
      </c>
      <c r="H108" s="52"/>
      <c r="I108" s="299" t="str">
        <f>IF($I$12="","",IFERROR(IF(Report!$D$4='!'!$HE$4,VLOOKUP(A108,Reference!$B$25:$H$390,4,FALSE),VLOOKUP(A108,Monitoring!$B$25:$H$390,4,FALSE)),""))</f>
        <v/>
      </c>
      <c r="J108" s="256"/>
      <c r="K108" s="299" t="str">
        <f>IF($K$12="","",IFERROR(IF(Report!$D$4='!'!$HE$4,VLOOKUP(A108,Reference!$B$25:$H$390,5,FALSE),VLOOKUP(A108,Monitoring!$B$25:$H$390,5,FALSE)),""))</f>
        <v/>
      </c>
      <c r="L108" s="256"/>
      <c r="M108" s="299" t="str">
        <f>IF($M$12="","",IFERROR(IF(Report!$D$4='!'!$HE$4,VLOOKUP(A108,Reference!$B$25:$H$390,6,FALSE),VLOOKUP(A108,Monitoring!$B$25:$H$390,6,FALSE)),""))</f>
        <v/>
      </c>
      <c r="N108" s="256"/>
      <c r="O108" s="299" t="str">
        <f>IF($O$12="","",IFERROR(IF(Report!$D$4='!'!$HE$4,VLOOKUP(A108,Reference!$B$25:$H$390,7,FALSE),VLOOKUP(A108,Monitoring!$B$25:$H$390,7,FALSE)),""))</f>
        <v/>
      </c>
      <c r="P108" s="52"/>
      <c r="Q108" s="151" t="str">
        <f>IF(B108='!'!$GJ$15,'!'!$GJ$15,$Q$12)</f>
        <v>N</v>
      </c>
      <c r="S108" s="4" t="str">
        <f>IFERROR(ABS(T108),'!'!$GJ$15)</f>
        <v>N</v>
      </c>
      <c r="T108" s="84" t="str">
        <f>IFERROR(+G108-D108,'!'!$GJ$15)</f>
        <v>N</v>
      </c>
      <c r="U108" s="64" t="str">
        <f t="shared" si="3"/>
        <v>N</v>
      </c>
      <c r="W108" s="153" t="str">
        <f>IFERROR(I$10*I108,'!'!$GJ$15)</f>
        <v>N</v>
      </c>
      <c r="X108" s="153" t="str">
        <f>IFERROR(K$10*K108,'!'!$GJ$15)</f>
        <v>N</v>
      </c>
      <c r="Y108" s="153" t="str">
        <f>IFERROR(M$10*M108,'!'!$GJ$15)</f>
        <v>N</v>
      </c>
      <c r="Z108" s="153" t="str">
        <f>IFERROR(O$10*O109,'!'!$GJ$15)</f>
        <v>N</v>
      </c>
    </row>
    <row r="109" spans="1:26" x14ac:dyDescent="0.35">
      <c r="A109" s="4">
        <f t="shared" si="2"/>
        <v>85</v>
      </c>
      <c r="B109" s="286" t="str">
        <f>IFERROR(IF(Report!$D$4='!'!$HE$4,VLOOKUP(A109,Reference!$B$25:$H$390,2,FALSE),VLOOKUP(A109,Monitoring!$B$25:$H$390,2,FALSE)),'!'!$GJ$15)</f>
        <v>N</v>
      </c>
      <c r="C109" s="58" t="str">
        <f>Reference!A109</f>
        <v/>
      </c>
      <c r="D109" s="287" t="str">
        <f>IFERROR(IF(Report!$D$4='!'!$HE$4,VLOOKUP(A109,Reference!$B$25:$H$390,3,FALSE),VLOOKUP(A109,Monitoring!$B$25:$H$390,3,FALSE)),'!'!$GJ$15)</f>
        <v>N</v>
      </c>
      <c r="E109" s="150"/>
      <c r="F109" s="254"/>
      <c r="G109" s="151" t="str">
        <f>IF(D109='!'!$GJ$15,'!'!$GJ$15,(SUM(W109,X109,Y109,Z108,Q109)))</f>
        <v>N</v>
      </c>
      <c r="H109" s="52"/>
      <c r="I109" s="299" t="str">
        <f>IF($I$12="","",IFERROR(IF(Report!$D$4='!'!$HE$4,VLOOKUP(A109,Reference!$B$25:$H$390,4,FALSE),VLOOKUP(A109,Monitoring!$B$25:$H$390,4,FALSE)),""))</f>
        <v/>
      </c>
      <c r="J109" s="256"/>
      <c r="K109" s="299" t="str">
        <f>IF($K$12="","",IFERROR(IF(Report!$D$4='!'!$HE$4,VLOOKUP(A109,Reference!$B$25:$H$390,5,FALSE),VLOOKUP(A109,Monitoring!$B$25:$H$390,5,FALSE)),""))</f>
        <v/>
      </c>
      <c r="L109" s="256"/>
      <c r="M109" s="299" t="str">
        <f>IF($M$12="","",IFERROR(IF(Report!$D$4='!'!$HE$4,VLOOKUP(A109,Reference!$B$25:$H$390,6,FALSE),VLOOKUP(A109,Monitoring!$B$25:$H$390,6,FALSE)),""))</f>
        <v/>
      </c>
      <c r="N109" s="256"/>
      <c r="O109" s="299" t="str">
        <f>IF($O$12="","",IFERROR(IF(Report!$D$4='!'!$HE$4,VLOOKUP(A109,Reference!$B$25:$H$390,7,FALSE),VLOOKUP(A109,Monitoring!$B$25:$H$390,7,FALSE)),""))</f>
        <v/>
      </c>
      <c r="P109" s="52"/>
      <c r="Q109" s="151" t="str">
        <f>IF(B109='!'!$GJ$15,'!'!$GJ$15,$Q$12)</f>
        <v>N</v>
      </c>
      <c r="S109" s="4" t="str">
        <f>IFERROR(ABS(T109),'!'!$GJ$15)</f>
        <v>N</v>
      </c>
      <c r="T109" s="84" t="str">
        <f>IFERROR(+G109-D109,'!'!$GJ$15)</f>
        <v>N</v>
      </c>
      <c r="U109" s="64" t="str">
        <f t="shared" si="3"/>
        <v>N</v>
      </c>
      <c r="W109" s="153" t="str">
        <f>IFERROR(I$10*I109,'!'!$GJ$15)</f>
        <v>N</v>
      </c>
      <c r="X109" s="153" t="str">
        <f>IFERROR(K$10*K109,'!'!$GJ$15)</f>
        <v>N</v>
      </c>
      <c r="Y109" s="153" t="str">
        <f>IFERROR(M$10*M109,'!'!$GJ$15)</f>
        <v>N</v>
      </c>
      <c r="Z109" s="153" t="str">
        <f>IFERROR(O$10*O110,'!'!$GJ$15)</f>
        <v>N</v>
      </c>
    </row>
    <row r="110" spans="1:26" x14ac:dyDescent="0.35">
      <c r="A110" s="4">
        <f t="shared" si="2"/>
        <v>86</v>
      </c>
      <c r="B110" s="286" t="str">
        <f>IFERROR(IF(Report!$D$4='!'!$HE$4,VLOOKUP(A110,Reference!$B$25:$H$390,2,FALSE),VLOOKUP(A110,Monitoring!$B$25:$H$390,2,FALSE)),'!'!$GJ$15)</f>
        <v>N</v>
      </c>
      <c r="C110" s="58" t="str">
        <f>Reference!A110</f>
        <v/>
      </c>
      <c r="D110" s="287" t="str">
        <f>IFERROR(IF(Report!$D$4='!'!$HE$4,VLOOKUP(A110,Reference!$B$25:$H$390,3,FALSE),VLOOKUP(A110,Monitoring!$B$25:$H$390,3,FALSE)),'!'!$GJ$15)</f>
        <v>N</v>
      </c>
      <c r="E110" s="150"/>
      <c r="F110" s="254"/>
      <c r="G110" s="151" t="str">
        <f>IF(D110='!'!$GJ$15,'!'!$GJ$15,(SUM(W110,X110,Y110,Z109,Q110)))</f>
        <v>N</v>
      </c>
      <c r="H110" s="52"/>
      <c r="I110" s="299" t="str">
        <f>IF($I$12="","",IFERROR(IF(Report!$D$4='!'!$HE$4,VLOOKUP(A110,Reference!$B$25:$H$390,4,FALSE),VLOOKUP(A110,Monitoring!$B$25:$H$390,4,FALSE)),""))</f>
        <v/>
      </c>
      <c r="J110" s="256"/>
      <c r="K110" s="299" t="str">
        <f>IF($K$12="","",IFERROR(IF(Report!$D$4='!'!$HE$4,VLOOKUP(A110,Reference!$B$25:$H$390,5,FALSE),VLOOKUP(A110,Monitoring!$B$25:$H$390,5,FALSE)),""))</f>
        <v/>
      </c>
      <c r="L110" s="256"/>
      <c r="M110" s="299" t="str">
        <f>IF($M$12="","",IFERROR(IF(Report!$D$4='!'!$HE$4,VLOOKUP(A110,Reference!$B$25:$H$390,6,FALSE),VLOOKUP(A110,Monitoring!$B$25:$H$390,6,FALSE)),""))</f>
        <v/>
      </c>
      <c r="N110" s="256"/>
      <c r="O110" s="299" t="str">
        <f>IF($O$12="","",IFERROR(IF(Report!$D$4='!'!$HE$4,VLOOKUP(A110,Reference!$B$25:$H$390,7,FALSE),VLOOKUP(A110,Monitoring!$B$25:$H$390,7,FALSE)),""))</f>
        <v/>
      </c>
      <c r="P110" s="52"/>
      <c r="Q110" s="151" t="str">
        <f>IF(B110='!'!$GJ$15,'!'!$GJ$15,$Q$12)</f>
        <v>N</v>
      </c>
      <c r="S110" s="4" t="str">
        <f>IFERROR(ABS(T110),'!'!$GJ$15)</f>
        <v>N</v>
      </c>
      <c r="T110" s="84" t="str">
        <f>IFERROR(+G110-D110,'!'!$GJ$15)</f>
        <v>N</v>
      </c>
      <c r="U110" s="64" t="str">
        <f t="shared" si="3"/>
        <v>N</v>
      </c>
      <c r="W110" s="153" t="str">
        <f>IFERROR(I$10*I110,'!'!$GJ$15)</f>
        <v>N</v>
      </c>
      <c r="X110" s="153" t="str">
        <f>IFERROR(K$10*K110,'!'!$GJ$15)</f>
        <v>N</v>
      </c>
      <c r="Y110" s="153" t="str">
        <f>IFERROR(M$10*M110,'!'!$GJ$15)</f>
        <v>N</v>
      </c>
      <c r="Z110" s="153" t="str">
        <f>IFERROR(O$10*O111,'!'!$GJ$15)</f>
        <v>N</v>
      </c>
    </row>
    <row r="111" spans="1:26" x14ac:dyDescent="0.35">
      <c r="A111" s="4">
        <f t="shared" si="2"/>
        <v>87</v>
      </c>
      <c r="B111" s="286" t="str">
        <f>IFERROR(IF(Report!$D$4='!'!$HE$4,VLOOKUP(A111,Reference!$B$25:$H$390,2,FALSE),VLOOKUP(A111,Monitoring!$B$25:$H$390,2,FALSE)),'!'!$GJ$15)</f>
        <v>N</v>
      </c>
      <c r="C111" s="58" t="str">
        <f>Reference!A111</f>
        <v/>
      </c>
      <c r="D111" s="287" t="str">
        <f>IFERROR(IF(Report!$D$4='!'!$HE$4,VLOOKUP(A111,Reference!$B$25:$H$390,3,FALSE),VLOOKUP(A111,Monitoring!$B$25:$H$390,3,FALSE)),'!'!$GJ$15)</f>
        <v>N</v>
      </c>
      <c r="E111" s="150"/>
      <c r="F111" s="254"/>
      <c r="G111" s="151" t="str">
        <f>IF(D111='!'!$GJ$15,'!'!$GJ$15,(SUM(W111,X111,Y111,Z110,Q111)))</f>
        <v>N</v>
      </c>
      <c r="H111" s="52"/>
      <c r="I111" s="299" t="str">
        <f>IF($I$12="","",IFERROR(IF(Report!$D$4='!'!$HE$4,VLOOKUP(A111,Reference!$B$25:$H$390,4,FALSE),VLOOKUP(A111,Monitoring!$B$25:$H$390,4,FALSE)),""))</f>
        <v/>
      </c>
      <c r="J111" s="256"/>
      <c r="K111" s="299" t="str">
        <f>IF($K$12="","",IFERROR(IF(Report!$D$4='!'!$HE$4,VLOOKUP(A111,Reference!$B$25:$H$390,5,FALSE),VLOOKUP(A111,Monitoring!$B$25:$H$390,5,FALSE)),""))</f>
        <v/>
      </c>
      <c r="L111" s="256"/>
      <c r="M111" s="299" t="str">
        <f>IF($M$12="","",IFERROR(IF(Report!$D$4='!'!$HE$4,VLOOKUP(A111,Reference!$B$25:$H$390,6,FALSE),VLOOKUP(A111,Monitoring!$B$25:$H$390,6,FALSE)),""))</f>
        <v/>
      </c>
      <c r="N111" s="256"/>
      <c r="O111" s="299" t="str">
        <f>IF($O$12="","",IFERROR(IF(Report!$D$4='!'!$HE$4,VLOOKUP(A111,Reference!$B$25:$H$390,7,FALSE),VLOOKUP(A111,Monitoring!$B$25:$H$390,7,FALSE)),""))</f>
        <v/>
      </c>
      <c r="P111" s="52"/>
      <c r="Q111" s="151" t="str">
        <f>IF(B111='!'!$GJ$15,'!'!$GJ$15,$Q$12)</f>
        <v>N</v>
      </c>
      <c r="S111" s="4" t="str">
        <f>IFERROR(ABS(T111),'!'!$GJ$15)</f>
        <v>N</v>
      </c>
      <c r="T111" s="84" t="str">
        <f>IFERROR(+G111-D111,'!'!$GJ$15)</f>
        <v>N</v>
      </c>
      <c r="U111" s="64" t="str">
        <f t="shared" si="3"/>
        <v>N</v>
      </c>
      <c r="W111" s="153" t="str">
        <f>IFERROR(I$10*I111,'!'!$GJ$15)</f>
        <v>N</v>
      </c>
      <c r="X111" s="153" t="str">
        <f>IFERROR(K$10*K111,'!'!$GJ$15)</f>
        <v>N</v>
      </c>
      <c r="Y111" s="153" t="str">
        <f>IFERROR(M$10*M111,'!'!$GJ$15)</f>
        <v>N</v>
      </c>
      <c r="Z111" s="153" t="str">
        <f>IFERROR(O$10*O112,'!'!$GJ$15)</f>
        <v>N</v>
      </c>
    </row>
    <row r="112" spans="1:26" x14ac:dyDescent="0.35">
      <c r="A112" s="4">
        <f t="shared" si="2"/>
        <v>88</v>
      </c>
      <c r="B112" s="286" t="str">
        <f>IFERROR(IF(Report!$D$4='!'!$HE$4,VLOOKUP(A112,Reference!$B$25:$H$390,2,FALSE),VLOOKUP(A112,Monitoring!$B$25:$H$390,2,FALSE)),'!'!$GJ$15)</f>
        <v>N</v>
      </c>
      <c r="C112" s="58" t="str">
        <f>Reference!A112</f>
        <v/>
      </c>
      <c r="D112" s="287" t="str">
        <f>IFERROR(IF(Report!$D$4='!'!$HE$4,VLOOKUP(A112,Reference!$B$25:$H$390,3,FALSE),VLOOKUP(A112,Monitoring!$B$25:$H$390,3,FALSE)),'!'!$GJ$15)</f>
        <v>N</v>
      </c>
      <c r="E112" s="150"/>
      <c r="F112" s="254"/>
      <c r="G112" s="151" t="str">
        <f>IF(D112='!'!$GJ$15,'!'!$GJ$15,(SUM(W112,X112,Y112,Z111,Q112)))</f>
        <v>N</v>
      </c>
      <c r="H112" s="52"/>
      <c r="I112" s="299" t="str">
        <f>IF($I$12="","",IFERROR(IF(Report!$D$4='!'!$HE$4,VLOOKUP(A112,Reference!$B$25:$H$390,4,FALSE),VLOOKUP(A112,Monitoring!$B$25:$H$390,4,FALSE)),""))</f>
        <v/>
      </c>
      <c r="J112" s="256"/>
      <c r="K112" s="299" t="str">
        <f>IF($K$12="","",IFERROR(IF(Report!$D$4='!'!$HE$4,VLOOKUP(A112,Reference!$B$25:$H$390,5,FALSE),VLOOKUP(A112,Monitoring!$B$25:$H$390,5,FALSE)),""))</f>
        <v/>
      </c>
      <c r="L112" s="256"/>
      <c r="M112" s="299" t="str">
        <f>IF($M$12="","",IFERROR(IF(Report!$D$4='!'!$HE$4,VLOOKUP(A112,Reference!$B$25:$H$390,6,FALSE),VLOOKUP(A112,Monitoring!$B$25:$H$390,6,FALSE)),""))</f>
        <v/>
      </c>
      <c r="N112" s="256"/>
      <c r="O112" s="299" t="str">
        <f>IF($O$12="","",IFERROR(IF(Report!$D$4='!'!$HE$4,VLOOKUP(A112,Reference!$B$25:$H$390,7,FALSE),VLOOKUP(A112,Monitoring!$B$25:$H$390,7,FALSE)),""))</f>
        <v/>
      </c>
      <c r="P112" s="52"/>
      <c r="Q112" s="151" t="str">
        <f>IF(B112='!'!$GJ$15,'!'!$GJ$15,$Q$12)</f>
        <v>N</v>
      </c>
      <c r="S112" s="4" t="str">
        <f>IFERROR(ABS(T112),'!'!$GJ$15)</f>
        <v>N</v>
      </c>
      <c r="T112" s="84" t="str">
        <f>IFERROR(+G112-D112,'!'!$GJ$15)</f>
        <v>N</v>
      </c>
      <c r="U112" s="64" t="str">
        <f t="shared" si="3"/>
        <v>N</v>
      </c>
      <c r="W112" s="153" t="str">
        <f>IFERROR(I$10*I112,'!'!$GJ$15)</f>
        <v>N</v>
      </c>
      <c r="X112" s="153" t="str">
        <f>IFERROR(K$10*K112,'!'!$GJ$15)</f>
        <v>N</v>
      </c>
      <c r="Y112" s="153" t="str">
        <f>IFERROR(M$10*M112,'!'!$GJ$15)</f>
        <v>N</v>
      </c>
      <c r="Z112" s="153" t="str">
        <f>IFERROR(O$10*O113,'!'!$GJ$15)</f>
        <v>N</v>
      </c>
    </row>
    <row r="113" spans="1:26" x14ac:dyDescent="0.35">
      <c r="A113" s="4">
        <f t="shared" si="2"/>
        <v>89</v>
      </c>
      <c r="B113" s="286" t="str">
        <f>IFERROR(IF(Report!$D$4='!'!$HE$4,VLOOKUP(A113,Reference!$B$25:$H$390,2,FALSE),VLOOKUP(A113,Monitoring!$B$25:$H$390,2,FALSE)),'!'!$GJ$15)</f>
        <v>N</v>
      </c>
      <c r="C113" s="58" t="str">
        <f>Reference!A113</f>
        <v/>
      </c>
      <c r="D113" s="287" t="str">
        <f>IFERROR(IF(Report!$D$4='!'!$HE$4,VLOOKUP(A113,Reference!$B$25:$H$390,3,FALSE),VLOOKUP(A113,Monitoring!$B$25:$H$390,3,FALSE)),'!'!$GJ$15)</f>
        <v>N</v>
      </c>
      <c r="E113" s="150"/>
      <c r="F113" s="254"/>
      <c r="G113" s="151" t="str">
        <f>IF(D113='!'!$GJ$15,'!'!$GJ$15,(SUM(W113,X113,Y113,Z112,Q113)))</f>
        <v>N</v>
      </c>
      <c r="H113" s="52"/>
      <c r="I113" s="299" t="str">
        <f>IF($I$12="","",IFERROR(IF(Report!$D$4='!'!$HE$4,VLOOKUP(A113,Reference!$B$25:$H$390,4,FALSE),VLOOKUP(A113,Monitoring!$B$25:$H$390,4,FALSE)),""))</f>
        <v/>
      </c>
      <c r="J113" s="256"/>
      <c r="K113" s="299" t="str">
        <f>IF($K$12="","",IFERROR(IF(Report!$D$4='!'!$HE$4,VLOOKUP(A113,Reference!$B$25:$H$390,5,FALSE),VLOOKUP(A113,Monitoring!$B$25:$H$390,5,FALSE)),""))</f>
        <v/>
      </c>
      <c r="L113" s="256"/>
      <c r="M113" s="299" t="str">
        <f>IF($M$12="","",IFERROR(IF(Report!$D$4='!'!$HE$4,VLOOKUP(A113,Reference!$B$25:$H$390,6,FALSE),VLOOKUP(A113,Monitoring!$B$25:$H$390,6,FALSE)),""))</f>
        <v/>
      </c>
      <c r="N113" s="256"/>
      <c r="O113" s="299" t="str">
        <f>IF($O$12="","",IFERROR(IF(Report!$D$4='!'!$HE$4,VLOOKUP(A113,Reference!$B$25:$H$390,7,FALSE),VLOOKUP(A113,Monitoring!$B$25:$H$390,7,FALSE)),""))</f>
        <v/>
      </c>
      <c r="P113" s="52"/>
      <c r="Q113" s="151" t="str">
        <f>IF(B113='!'!$GJ$15,'!'!$GJ$15,$Q$12)</f>
        <v>N</v>
      </c>
      <c r="S113" s="4" t="str">
        <f>IFERROR(ABS(T113),'!'!$GJ$15)</f>
        <v>N</v>
      </c>
      <c r="T113" s="84" t="str">
        <f>IFERROR(+G113-D113,'!'!$GJ$15)</f>
        <v>N</v>
      </c>
      <c r="U113" s="64" t="str">
        <f t="shared" si="3"/>
        <v>N</v>
      </c>
      <c r="W113" s="153" t="str">
        <f>IFERROR(I$10*I113,'!'!$GJ$15)</f>
        <v>N</v>
      </c>
      <c r="X113" s="153" t="str">
        <f>IFERROR(K$10*K113,'!'!$GJ$15)</f>
        <v>N</v>
      </c>
      <c r="Y113" s="153" t="str">
        <f>IFERROR(M$10*M113,'!'!$GJ$15)</f>
        <v>N</v>
      </c>
      <c r="Z113" s="153" t="str">
        <f>IFERROR(O$10*O114,'!'!$GJ$15)</f>
        <v>N</v>
      </c>
    </row>
    <row r="114" spans="1:26" x14ac:dyDescent="0.35">
      <c r="A114" s="4">
        <f t="shared" si="2"/>
        <v>90</v>
      </c>
      <c r="B114" s="286" t="str">
        <f>IFERROR(IF(Report!$D$4='!'!$HE$4,VLOOKUP(A114,Reference!$B$25:$H$390,2,FALSE),VLOOKUP(A114,Monitoring!$B$25:$H$390,2,FALSE)),'!'!$GJ$15)</f>
        <v>N</v>
      </c>
      <c r="C114" s="58" t="str">
        <f>Reference!A114</f>
        <v/>
      </c>
      <c r="D114" s="287" t="str">
        <f>IFERROR(IF(Report!$D$4='!'!$HE$4,VLOOKUP(A114,Reference!$B$25:$H$390,3,FALSE),VLOOKUP(A114,Monitoring!$B$25:$H$390,3,FALSE)),'!'!$GJ$15)</f>
        <v>N</v>
      </c>
      <c r="E114" s="150"/>
      <c r="F114" s="254"/>
      <c r="G114" s="151" t="str">
        <f>IF(D114='!'!$GJ$15,'!'!$GJ$15,(SUM(W114,X114,Y114,Z113,Q114)))</f>
        <v>N</v>
      </c>
      <c r="H114" s="52"/>
      <c r="I114" s="299" t="str">
        <f>IF($I$12="","",IFERROR(IF(Report!$D$4='!'!$HE$4,VLOOKUP(A114,Reference!$B$25:$H$390,4,FALSE),VLOOKUP(A114,Monitoring!$B$25:$H$390,4,FALSE)),""))</f>
        <v/>
      </c>
      <c r="J114" s="256"/>
      <c r="K114" s="299" t="str">
        <f>IF($K$12="","",IFERROR(IF(Report!$D$4='!'!$HE$4,VLOOKUP(A114,Reference!$B$25:$H$390,5,FALSE),VLOOKUP(A114,Monitoring!$B$25:$H$390,5,FALSE)),""))</f>
        <v/>
      </c>
      <c r="L114" s="256"/>
      <c r="M114" s="299" t="str">
        <f>IF($M$12="","",IFERROR(IF(Report!$D$4='!'!$HE$4,VLOOKUP(A114,Reference!$B$25:$H$390,6,FALSE),VLOOKUP(A114,Monitoring!$B$25:$H$390,6,FALSE)),""))</f>
        <v/>
      </c>
      <c r="N114" s="256"/>
      <c r="O114" s="299" t="str">
        <f>IF($O$12="","",IFERROR(IF(Report!$D$4='!'!$HE$4,VLOOKUP(A114,Reference!$B$25:$H$390,7,FALSE),VLOOKUP(A114,Monitoring!$B$25:$H$390,7,FALSE)),""))</f>
        <v/>
      </c>
      <c r="P114" s="52"/>
      <c r="Q114" s="151" t="str">
        <f>IF(B114='!'!$GJ$15,'!'!$GJ$15,$Q$12)</f>
        <v>N</v>
      </c>
      <c r="S114" s="4" t="str">
        <f>IFERROR(ABS(T114),'!'!$GJ$15)</f>
        <v>N</v>
      </c>
      <c r="T114" s="84" t="str">
        <f>IFERROR(+G114-D114,'!'!$GJ$15)</f>
        <v>N</v>
      </c>
      <c r="U114" s="64" t="str">
        <f t="shared" si="3"/>
        <v>N</v>
      </c>
      <c r="W114" s="153" t="str">
        <f>IFERROR(I$10*I114,'!'!$GJ$15)</f>
        <v>N</v>
      </c>
      <c r="X114" s="153" t="str">
        <f>IFERROR(K$10*K114,'!'!$GJ$15)</f>
        <v>N</v>
      </c>
      <c r="Y114" s="153" t="str">
        <f>IFERROR(M$10*M114,'!'!$GJ$15)</f>
        <v>N</v>
      </c>
      <c r="Z114" s="153" t="str">
        <f>IFERROR(O$10*O115,'!'!$GJ$15)</f>
        <v>N</v>
      </c>
    </row>
    <row r="115" spans="1:26" x14ac:dyDescent="0.35">
      <c r="A115" s="4">
        <f t="shared" si="2"/>
        <v>91</v>
      </c>
      <c r="B115" s="286" t="str">
        <f>IFERROR(IF(Report!$D$4='!'!$HE$4,VLOOKUP(A115,Reference!$B$25:$H$390,2,FALSE),VLOOKUP(A115,Monitoring!$B$25:$H$390,2,FALSE)),'!'!$GJ$15)</f>
        <v>N</v>
      </c>
      <c r="C115" s="58" t="str">
        <f>Reference!A115</f>
        <v/>
      </c>
      <c r="D115" s="287" t="str">
        <f>IFERROR(IF(Report!$D$4='!'!$HE$4,VLOOKUP(A115,Reference!$B$25:$H$390,3,FALSE),VLOOKUP(A115,Monitoring!$B$25:$H$390,3,FALSE)),'!'!$GJ$15)</f>
        <v>N</v>
      </c>
      <c r="E115" s="150"/>
      <c r="F115" s="254"/>
      <c r="G115" s="151" t="str">
        <f>IF(D115='!'!$GJ$15,'!'!$GJ$15,(SUM(W115,X115,Y115,Z114,Q115)))</f>
        <v>N</v>
      </c>
      <c r="H115" s="52"/>
      <c r="I115" s="299" t="str">
        <f>IF($I$12="","",IFERROR(IF(Report!$D$4='!'!$HE$4,VLOOKUP(A115,Reference!$B$25:$H$390,4,FALSE),VLOOKUP(A115,Monitoring!$B$25:$H$390,4,FALSE)),""))</f>
        <v/>
      </c>
      <c r="J115" s="256"/>
      <c r="K115" s="299" t="str">
        <f>IF($K$12="","",IFERROR(IF(Report!$D$4='!'!$HE$4,VLOOKUP(A115,Reference!$B$25:$H$390,5,FALSE),VLOOKUP(A115,Monitoring!$B$25:$H$390,5,FALSE)),""))</f>
        <v/>
      </c>
      <c r="L115" s="256"/>
      <c r="M115" s="299" t="str">
        <f>IF($M$12="","",IFERROR(IF(Report!$D$4='!'!$HE$4,VLOOKUP(A115,Reference!$B$25:$H$390,6,FALSE),VLOOKUP(A115,Monitoring!$B$25:$H$390,6,FALSE)),""))</f>
        <v/>
      </c>
      <c r="N115" s="256"/>
      <c r="O115" s="299" t="str">
        <f>IF($O$12="","",IFERROR(IF(Report!$D$4='!'!$HE$4,VLOOKUP(A115,Reference!$B$25:$H$390,7,FALSE),VLOOKUP(A115,Monitoring!$B$25:$H$390,7,FALSE)),""))</f>
        <v/>
      </c>
      <c r="P115" s="52"/>
      <c r="Q115" s="151" t="str">
        <f>IF(B115='!'!$GJ$15,'!'!$GJ$15,$Q$12)</f>
        <v>N</v>
      </c>
      <c r="S115" s="4" t="str">
        <f>IFERROR(ABS(T115),'!'!$GJ$15)</f>
        <v>N</v>
      </c>
      <c r="T115" s="84" t="str">
        <f>IFERROR(+G115-D115,'!'!$GJ$15)</f>
        <v>N</v>
      </c>
      <c r="U115" s="64" t="str">
        <f t="shared" si="3"/>
        <v>N</v>
      </c>
      <c r="W115" s="153" t="str">
        <f>IFERROR(I$10*I115,'!'!$GJ$15)</f>
        <v>N</v>
      </c>
      <c r="X115" s="153" t="str">
        <f>IFERROR(K$10*K115,'!'!$GJ$15)</f>
        <v>N</v>
      </c>
      <c r="Y115" s="153" t="str">
        <f>IFERROR(M$10*M115,'!'!$GJ$15)</f>
        <v>N</v>
      </c>
      <c r="Z115" s="153" t="str">
        <f>IFERROR(O$10*O116,'!'!$GJ$15)</f>
        <v>N</v>
      </c>
    </row>
    <row r="116" spans="1:26" x14ac:dyDescent="0.35">
      <c r="A116" s="4">
        <f t="shared" si="2"/>
        <v>92</v>
      </c>
      <c r="B116" s="286" t="str">
        <f>IFERROR(IF(Report!$D$4='!'!$HE$4,VLOOKUP(A116,Reference!$B$25:$H$390,2,FALSE),VLOOKUP(A116,Monitoring!$B$25:$H$390,2,FALSE)),'!'!$GJ$15)</f>
        <v>N</v>
      </c>
      <c r="C116" s="58" t="str">
        <f>Reference!A116</f>
        <v/>
      </c>
      <c r="D116" s="287" t="str">
        <f>IFERROR(IF(Report!$D$4='!'!$HE$4,VLOOKUP(A116,Reference!$B$25:$H$390,3,FALSE),VLOOKUP(A116,Monitoring!$B$25:$H$390,3,FALSE)),'!'!$GJ$15)</f>
        <v>N</v>
      </c>
      <c r="E116" s="150"/>
      <c r="F116" s="254"/>
      <c r="G116" s="151" t="str">
        <f>IF(D116='!'!$GJ$15,'!'!$GJ$15,(SUM(W116,X116,Y116,Z115,Q116)))</f>
        <v>N</v>
      </c>
      <c r="H116" s="52"/>
      <c r="I116" s="299" t="str">
        <f>IF($I$12="","",IFERROR(IF(Report!$D$4='!'!$HE$4,VLOOKUP(A116,Reference!$B$25:$H$390,4,FALSE),VLOOKUP(A116,Monitoring!$B$25:$H$390,4,FALSE)),""))</f>
        <v/>
      </c>
      <c r="J116" s="256"/>
      <c r="K116" s="299" t="str">
        <f>IF($K$12="","",IFERROR(IF(Report!$D$4='!'!$HE$4,VLOOKUP(A116,Reference!$B$25:$H$390,5,FALSE),VLOOKUP(A116,Monitoring!$B$25:$H$390,5,FALSE)),""))</f>
        <v/>
      </c>
      <c r="L116" s="256"/>
      <c r="M116" s="299" t="str">
        <f>IF($M$12="","",IFERROR(IF(Report!$D$4='!'!$HE$4,VLOOKUP(A116,Reference!$B$25:$H$390,6,FALSE),VLOOKUP(A116,Monitoring!$B$25:$H$390,6,FALSE)),""))</f>
        <v/>
      </c>
      <c r="N116" s="256"/>
      <c r="O116" s="299" t="str">
        <f>IF($O$12="","",IFERROR(IF(Report!$D$4='!'!$HE$4,VLOOKUP(A116,Reference!$B$25:$H$390,7,FALSE),VLOOKUP(A116,Monitoring!$B$25:$H$390,7,FALSE)),""))</f>
        <v/>
      </c>
      <c r="P116" s="52"/>
      <c r="Q116" s="151" t="str">
        <f>IF(B116='!'!$GJ$15,'!'!$GJ$15,$Q$12)</f>
        <v>N</v>
      </c>
      <c r="S116" s="4" t="str">
        <f>IFERROR(ABS(T116),'!'!$GJ$15)</f>
        <v>N</v>
      </c>
      <c r="T116" s="84" t="str">
        <f>IFERROR(+G116-D116,'!'!$GJ$15)</f>
        <v>N</v>
      </c>
      <c r="U116" s="64" t="str">
        <f t="shared" si="3"/>
        <v>N</v>
      </c>
      <c r="W116" s="153" t="str">
        <f>IFERROR(I$10*I116,'!'!$GJ$15)</f>
        <v>N</v>
      </c>
      <c r="X116" s="153" t="str">
        <f>IFERROR(K$10*K116,'!'!$GJ$15)</f>
        <v>N</v>
      </c>
      <c r="Y116" s="153" t="str">
        <f>IFERROR(M$10*M116,'!'!$GJ$15)</f>
        <v>N</v>
      </c>
      <c r="Z116" s="153" t="str">
        <f>IFERROR(O$10*O117,'!'!$GJ$15)</f>
        <v>N</v>
      </c>
    </row>
    <row r="117" spans="1:26" x14ac:dyDescent="0.35">
      <c r="A117" s="4">
        <f t="shared" si="2"/>
        <v>93</v>
      </c>
      <c r="B117" s="286" t="str">
        <f>IFERROR(IF(Report!$D$4='!'!$HE$4,VLOOKUP(A117,Reference!$B$25:$H$390,2,FALSE),VLOOKUP(A117,Monitoring!$B$25:$H$390,2,FALSE)),'!'!$GJ$15)</f>
        <v>N</v>
      </c>
      <c r="C117" s="58" t="str">
        <f>Reference!A117</f>
        <v/>
      </c>
      <c r="D117" s="287" t="str">
        <f>IFERROR(IF(Report!$D$4='!'!$HE$4,VLOOKUP(A117,Reference!$B$25:$H$390,3,FALSE),VLOOKUP(A117,Monitoring!$B$25:$H$390,3,FALSE)),'!'!$GJ$15)</f>
        <v>N</v>
      </c>
      <c r="E117" s="150"/>
      <c r="F117" s="254"/>
      <c r="G117" s="151" t="str">
        <f>IF(D117='!'!$GJ$15,'!'!$GJ$15,(SUM(W117,X117,Y117,Z116,Q117)))</f>
        <v>N</v>
      </c>
      <c r="H117" s="52"/>
      <c r="I117" s="299" t="str">
        <f>IF($I$12="","",IFERROR(IF(Report!$D$4='!'!$HE$4,VLOOKUP(A117,Reference!$B$25:$H$390,4,FALSE),VLOOKUP(A117,Monitoring!$B$25:$H$390,4,FALSE)),""))</f>
        <v/>
      </c>
      <c r="J117" s="256"/>
      <c r="K117" s="299" t="str">
        <f>IF($K$12="","",IFERROR(IF(Report!$D$4='!'!$HE$4,VLOOKUP(A117,Reference!$B$25:$H$390,5,FALSE),VLOOKUP(A117,Monitoring!$B$25:$H$390,5,FALSE)),""))</f>
        <v/>
      </c>
      <c r="L117" s="256"/>
      <c r="M117" s="299" t="str">
        <f>IF($M$12="","",IFERROR(IF(Report!$D$4='!'!$HE$4,VLOOKUP(A117,Reference!$B$25:$H$390,6,FALSE),VLOOKUP(A117,Monitoring!$B$25:$H$390,6,FALSE)),""))</f>
        <v/>
      </c>
      <c r="N117" s="256"/>
      <c r="O117" s="299" t="str">
        <f>IF($O$12="","",IFERROR(IF(Report!$D$4='!'!$HE$4,VLOOKUP(A117,Reference!$B$25:$H$390,7,FALSE),VLOOKUP(A117,Monitoring!$B$25:$H$390,7,FALSE)),""))</f>
        <v/>
      </c>
      <c r="P117" s="52"/>
      <c r="Q117" s="151" t="str">
        <f>IF(B117='!'!$GJ$15,'!'!$GJ$15,$Q$12)</f>
        <v>N</v>
      </c>
      <c r="S117" s="4" t="str">
        <f>IFERROR(ABS(T117),'!'!$GJ$15)</f>
        <v>N</v>
      </c>
      <c r="T117" s="84" t="str">
        <f>IFERROR(+G117-D117,'!'!$GJ$15)</f>
        <v>N</v>
      </c>
      <c r="U117" s="64" t="str">
        <f t="shared" si="3"/>
        <v>N</v>
      </c>
      <c r="W117" s="153" t="str">
        <f>IFERROR(I$10*I117,'!'!$GJ$15)</f>
        <v>N</v>
      </c>
      <c r="X117" s="153" t="str">
        <f>IFERROR(K$10*K117,'!'!$GJ$15)</f>
        <v>N</v>
      </c>
      <c r="Y117" s="153" t="str">
        <f>IFERROR(M$10*M117,'!'!$GJ$15)</f>
        <v>N</v>
      </c>
      <c r="Z117" s="153" t="str">
        <f>IFERROR(O$10*O118,'!'!$GJ$15)</f>
        <v>N</v>
      </c>
    </row>
    <row r="118" spans="1:26" x14ac:dyDescent="0.35">
      <c r="A118" s="4">
        <f t="shared" si="2"/>
        <v>94</v>
      </c>
      <c r="B118" s="286" t="str">
        <f>IFERROR(IF(Report!$D$4='!'!$HE$4,VLOOKUP(A118,Reference!$B$25:$H$390,2,FALSE),VLOOKUP(A118,Monitoring!$B$25:$H$390,2,FALSE)),'!'!$GJ$15)</f>
        <v>N</v>
      </c>
      <c r="C118" s="58" t="str">
        <f>Reference!A118</f>
        <v/>
      </c>
      <c r="D118" s="287" t="str">
        <f>IFERROR(IF(Report!$D$4='!'!$HE$4,VLOOKUP(A118,Reference!$B$25:$H$390,3,FALSE),VLOOKUP(A118,Monitoring!$B$25:$H$390,3,FALSE)),'!'!$GJ$15)</f>
        <v>N</v>
      </c>
      <c r="E118" s="150"/>
      <c r="F118" s="254"/>
      <c r="G118" s="151" t="str">
        <f>IF(D118='!'!$GJ$15,'!'!$GJ$15,(SUM(W118,X118,Y118,Z117,Q118)))</f>
        <v>N</v>
      </c>
      <c r="H118" s="52"/>
      <c r="I118" s="299" t="str">
        <f>IF($I$12="","",IFERROR(IF(Report!$D$4='!'!$HE$4,VLOOKUP(A118,Reference!$B$25:$H$390,4,FALSE),VLOOKUP(A118,Monitoring!$B$25:$H$390,4,FALSE)),""))</f>
        <v/>
      </c>
      <c r="J118" s="256"/>
      <c r="K118" s="299" t="str">
        <f>IF($K$12="","",IFERROR(IF(Report!$D$4='!'!$HE$4,VLOOKUP(A118,Reference!$B$25:$H$390,5,FALSE),VLOOKUP(A118,Monitoring!$B$25:$H$390,5,FALSE)),""))</f>
        <v/>
      </c>
      <c r="L118" s="256"/>
      <c r="M118" s="299" t="str">
        <f>IF($M$12="","",IFERROR(IF(Report!$D$4='!'!$HE$4,VLOOKUP(A118,Reference!$B$25:$H$390,6,FALSE),VLOOKUP(A118,Monitoring!$B$25:$H$390,6,FALSE)),""))</f>
        <v/>
      </c>
      <c r="N118" s="256"/>
      <c r="O118" s="299" t="str">
        <f>IF($O$12="","",IFERROR(IF(Report!$D$4='!'!$HE$4,VLOOKUP(A118,Reference!$B$25:$H$390,7,FALSE),VLOOKUP(A118,Monitoring!$B$25:$H$390,7,FALSE)),""))</f>
        <v/>
      </c>
      <c r="P118" s="52"/>
      <c r="Q118" s="151" t="str">
        <f>IF(B118='!'!$GJ$15,'!'!$GJ$15,$Q$12)</f>
        <v>N</v>
      </c>
      <c r="S118" s="4" t="str">
        <f>IFERROR(ABS(T118),'!'!$GJ$15)</f>
        <v>N</v>
      </c>
      <c r="T118" s="84" t="str">
        <f>IFERROR(+G118-D118,'!'!$GJ$15)</f>
        <v>N</v>
      </c>
      <c r="U118" s="64" t="str">
        <f t="shared" si="3"/>
        <v>N</v>
      </c>
      <c r="W118" s="153" t="str">
        <f>IFERROR(I$10*I118,'!'!$GJ$15)</f>
        <v>N</v>
      </c>
      <c r="X118" s="153" t="str">
        <f>IFERROR(K$10*K118,'!'!$GJ$15)</f>
        <v>N</v>
      </c>
      <c r="Y118" s="153" t="str">
        <f>IFERROR(M$10*M118,'!'!$GJ$15)</f>
        <v>N</v>
      </c>
      <c r="Z118" s="153" t="str">
        <f>IFERROR(O$10*O119,'!'!$GJ$15)</f>
        <v>N</v>
      </c>
    </row>
    <row r="119" spans="1:26" x14ac:dyDescent="0.35">
      <c r="A119" s="4">
        <f t="shared" si="2"/>
        <v>95</v>
      </c>
      <c r="B119" s="286" t="str">
        <f>IFERROR(IF(Report!$D$4='!'!$HE$4,VLOOKUP(A119,Reference!$B$25:$H$390,2,FALSE),VLOOKUP(A119,Monitoring!$B$25:$H$390,2,FALSE)),'!'!$GJ$15)</f>
        <v>N</v>
      </c>
      <c r="C119" s="58" t="str">
        <f>Reference!A119</f>
        <v/>
      </c>
      <c r="D119" s="287" t="str">
        <f>IFERROR(IF(Report!$D$4='!'!$HE$4,VLOOKUP(A119,Reference!$B$25:$H$390,3,FALSE),VLOOKUP(A119,Monitoring!$B$25:$H$390,3,FALSE)),'!'!$GJ$15)</f>
        <v>N</v>
      </c>
      <c r="E119" s="150"/>
      <c r="F119" s="254"/>
      <c r="G119" s="151" t="str">
        <f>IF(D119='!'!$GJ$15,'!'!$GJ$15,(SUM(W119,X119,Y119,Z118,Q119)))</f>
        <v>N</v>
      </c>
      <c r="H119" s="52"/>
      <c r="I119" s="299" t="str">
        <f>IF($I$12="","",IFERROR(IF(Report!$D$4='!'!$HE$4,VLOOKUP(A119,Reference!$B$25:$H$390,4,FALSE),VLOOKUP(A119,Monitoring!$B$25:$H$390,4,FALSE)),""))</f>
        <v/>
      </c>
      <c r="J119" s="256"/>
      <c r="K119" s="299" t="str">
        <f>IF($K$12="","",IFERROR(IF(Report!$D$4='!'!$HE$4,VLOOKUP(A119,Reference!$B$25:$H$390,5,FALSE),VLOOKUP(A119,Monitoring!$B$25:$H$390,5,FALSE)),""))</f>
        <v/>
      </c>
      <c r="L119" s="256"/>
      <c r="M119" s="299" t="str">
        <f>IF($M$12="","",IFERROR(IF(Report!$D$4='!'!$HE$4,VLOOKUP(A119,Reference!$B$25:$H$390,6,FALSE),VLOOKUP(A119,Monitoring!$B$25:$H$390,6,FALSE)),""))</f>
        <v/>
      </c>
      <c r="N119" s="256"/>
      <c r="O119" s="299" t="str">
        <f>IF($O$12="","",IFERROR(IF(Report!$D$4='!'!$HE$4,VLOOKUP(A119,Reference!$B$25:$H$390,7,FALSE),VLOOKUP(A119,Monitoring!$B$25:$H$390,7,FALSE)),""))</f>
        <v/>
      </c>
      <c r="P119" s="52"/>
      <c r="Q119" s="151" t="str">
        <f>IF(B119='!'!$GJ$15,'!'!$GJ$15,$Q$12)</f>
        <v>N</v>
      </c>
      <c r="S119" s="4" t="str">
        <f>IFERROR(ABS(T119),'!'!$GJ$15)</f>
        <v>N</v>
      </c>
      <c r="T119" s="84" t="str">
        <f>IFERROR(+G119-D119,'!'!$GJ$15)</f>
        <v>N</v>
      </c>
      <c r="U119" s="64" t="str">
        <f t="shared" si="3"/>
        <v>N</v>
      </c>
      <c r="W119" s="153" t="str">
        <f>IFERROR(I$10*I119,'!'!$GJ$15)</f>
        <v>N</v>
      </c>
      <c r="X119" s="153" t="str">
        <f>IFERROR(K$10*K119,'!'!$GJ$15)</f>
        <v>N</v>
      </c>
      <c r="Y119" s="153" t="str">
        <f>IFERROR(M$10*M119,'!'!$GJ$15)</f>
        <v>N</v>
      </c>
      <c r="Z119" s="153" t="str">
        <f>IFERROR(O$10*O120,'!'!$GJ$15)</f>
        <v>N</v>
      </c>
    </row>
    <row r="120" spans="1:26" x14ac:dyDescent="0.35">
      <c r="A120" s="4">
        <f t="shared" si="2"/>
        <v>96</v>
      </c>
      <c r="B120" s="286" t="str">
        <f>IFERROR(IF(Report!$D$4='!'!$HE$4,VLOOKUP(A120,Reference!$B$25:$H$390,2,FALSE),VLOOKUP(A120,Monitoring!$B$25:$H$390,2,FALSE)),'!'!$GJ$15)</f>
        <v>N</v>
      </c>
      <c r="C120" s="58" t="str">
        <f>Reference!A120</f>
        <v/>
      </c>
      <c r="D120" s="287" t="str">
        <f>IFERROR(IF(Report!$D$4='!'!$HE$4,VLOOKUP(A120,Reference!$B$25:$H$390,3,FALSE),VLOOKUP(A120,Monitoring!$B$25:$H$390,3,FALSE)),'!'!$GJ$15)</f>
        <v>N</v>
      </c>
      <c r="E120" s="150"/>
      <c r="F120" s="254"/>
      <c r="G120" s="151" t="str">
        <f>IF(D120='!'!$GJ$15,'!'!$GJ$15,(SUM(W120,X120,Y120,Z119,Q120)))</f>
        <v>N</v>
      </c>
      <c r="H120" s="52"/>
      <c r="I120" s="299" t="str">
        <f>IF($I$12="","",IFERROR(IF(Report!$D$4='!'!$HE$4,VLOOKUP(A120,Reference!$B$25:$H$390,4,FALSE),VLOOKUP(A120,Monitoring!$B$25:$H$390,4,FALSE)),""))</f>
        <v/>
      </c>
      <c r="J120" s="256"/>
      <c r="K120" s="299" t="str">
        <f>IF($K$12="","",IFERROR(IF(Report!$D$4='!'!$HE$4,VLOOKUP(A120,Reference!$B$25:$H$390,5,FALSE),VLOOKUP(A120,Monitoring!$B$25:$H$390,5,FALSE)),""))</f>
        <v/>
      </c>
      <c r="L120" s="256"/>
      <c r="M120" s="299" t="str">
        <f>IF($M$12="","",IFERROR(IF(Report!$D$4='!'!$HE$4,VLOOKUP(A120,Reference!$B$25:$H$390,6,FALSE),VLOOKUP(A120,Monitoring!$B$25:$H$390,6,FALSE)),""))</f>
        <v/>
      </c>
      <c r="N120" s="256"/>
      <c r="O120" s="299" t="str">
        <f>IF($O$12="","",IFERROR(IF(Report!$D$4='!'!$HE$4,VLOOKUP(A120,Reference!$B$25:$H$390,7,FALSE),VLOOKUP(A120,Monitoring!$B$25:$H$390,7,FALSE)),""))</f>
        <v/>
      </c>
      <c r="P120" s="52"/>
      <c r="Q120" s="151" t="str">
        <f>IF(B120='!'!$GJ$15,'!'!$GJ$15,$Q$12)</f>
        <v>N</v>
      </c>
      <c r="S120" s="4" t="str">
        <f>IFERROR(ABS(T120),'!'!$GJ$15)</f>
        <v>N</v>
      </c>
      <c r="T120" s="84" t="str">
        <f>IFERROR(+G120-D120,'!'!$GJ$15)</f>
        <v>N</v>
      </c>
      <c r="U120" s="64" t="str">
        <f t="shared" si="3"/>
        <v>N</v>
      </c>
      <c r="W120" s="153" t="str">
        <f>IFERROR(I$10*I120,'!'!$GJ$15)</f>
        <v>N</v>
      </c>
      <c r="X120" s="153" t="str">
        <f>IFERROR(K$10*K120,'!'!$GJ$15)</f>
        <v>N</v>
      </c>
      <c r="Y120" s="153" t="str">
        <f>IFERROR(M$10*M120,'!'!$GJ$15)</f>
        <v>N</v>
      </c>
      <c r="Z120" s="153" t="str">
        <f>IFERROR(O$10*O121,'!'!$GJ$15)</f>
        <v>N</v>
      </c>
    </row>
    <row r="121" spans="1:26" x14ac:dyDescent="0.35">
      <c r="A121" s="4">
        <f t="shared" si="2"/>
        <v>97</v>
      </c>
      <c r="B121" s="286" t="str">
        <f>IFERROR(IF(Report!$D$4='!'!$HE$4,VLOOKUP(A121,Reference!$B$25:$H$390,2,FALSE),VLOOKUP(A121,Monitoring!$B$25:$H$390,2,FALSE)),'!'!$GJ$15)</f>
        <v>N</v>
      </c>
      <c r="C121" s="58" t="str">
        <f>Reference!A121</f>
        <v/>
      </c>
      <c r="D121" s="287" t="str">
        <f>IFERROR(IF(Report!$D$4='!'!$HE$4,VLOOKUP(A121,Reference!$B$25:$H$390,3,FALSE),VLOOKUP(A121,Monitoring!$B$25:$H$390,3,FALSE)),'!'!$GJ$15)</f>
        <v>N</v>
      </c>
      <c r="E121" s="150"/>
      <c r="F121" s="254"/>
      <c r="G121" s="151" t="str">
        <f>IF(D121='!'!$GJ$15,'!'!$GJ$15,(SUM(W121,X121,Y121,Z120,Q121)))</f>
        <v>N</v>
      </c>
      <c r="H121" s="52"/>
      <c r="I121" s="299" t="str">
        <f>IF($I$12="","",IFERROR(IF(Report!$D$4='!'!$HE$4,VLOOKUP(A121,Reference!$B$25:$H$390,4,FALSE),VLOOKUP(A121,Monitoring!$B$25:$H$390,4,FALSE)),""))</f>
        <v/>
      </c>
      <c r="J121" s="256"/>
      <c r="K121" s="299" t="str">
        <f>IF($K$12="","",IFERROR(IF(Report!$D$4='!'!$HE$4,VLOOKUP(A121,Reference!$B$25:$H$390,5,FALSE),VLOOKUP(A121,Monitoring!$B$25:$H$390,5,FALSE)),""))</f>
        <v/>
      </c>
      <c r="L121" s="256"/>
      <c r="M121" s="299" t="str">
        <f>IF($M$12="","",IFERROR(IF(Report!$D$4='!'!$HE$4,VLOOKUP(A121,Reference!$B$25:$H$390,6,FALSE),VLOOKUP(A121,Monitoring!$B$25:$H$390,6,FALSE)),""))</f>
        <v/>
      </c>
      <c r="N121" s="256"/>
      <c r="O121" s="299" t="str">
        <f>IF($O$12="","",IFERROR(IF(Report!$D$4='!'!$HE$4,VLOOKUP(A121,Reference!$B$25:$H$390,7,FALSE),VLOOKUP(A121,Monitoring!$B$25:$H$390,7,FALSE)),""))</f>
        <v/>
      </c>
      <c r="P121" s="52"/>
      <c r="Q121" s="151" t="str">
        <f>IF(B121='!'!$GJ$15,'!'!$GJ$15,$Q$12)</f>
        <v>N</v>
      </c>
      <c r="S121" s="4" t="str">
        <f>IFERROR(ABS(T121),'!'!$GJ$15)</f>
        <v>N</v>
      </c>
      <c r="T121" s="84" t="str">
        <f>IFERROR(+G121-D121,'!'!$GJ$15)</f>
        <v>N</v>
      </c>
      <c r="U121" s="64" t="str">
        <f t="shared" si="3"/>
        <v>N</v>
      </c>
      <c r="W121" s="153" t="str">
        <f>IFERROR(I$10*I121,'!'!$GJ$15)</f>
        <v>N</v>
      </c>
      <c r="X121" s="153" t="str">
        <f>IFERROR(K$10*K121,'!'!$GJ$15)</f>
        <v>N</v>
      </c>
      <c r="Y121" s="153" t="str">
        <f>IFERROR(M$10*M121,'!'!$GJ$15)</f>
        <v>N</v>
      </c>
      <c r="Z121" s="153" t="str">
        <f>IFERROR(O$10*O122,'!'!$GJ$15)</f>
        <v>N</v>
      </c>
    </row>
    <row r="122" spans="1:26" x14ac:dyDescent="0.35">
      <c r="A122" s="4">
        <f t="shared" si="2"/>
        <v>98</v>
      </c>
      <c r="B122" s="286" t="str">
        <f>IFERROR(IF(Report!$D$4='!'!$HE$4,VLOOKUP(A122,Reference!$B$25:$H$390,2,FALSE),VLOOKUP(A122,Monitoring!$B$25:$H$390,2,FALSE)),'!'!$GJ$15)</f>
        <v>N</v>
      </c>
      <c r="C122" s="58" t="str">
        <f>Reference!A122</f>
        <v/>
      </c>
      <c r="D122" s="287" t="str">
        <f>IFERROR(IF(Report!$D$4='!'!$HE$4,VLOOKUP(A122,Reference!$B$25:$H$390,3,FALSE),VLOOKUP(A122,Monitoring!$B$25:$H$390,3,FALSE)),'!'!$GJ$15)</f>
        <v>N</v>
      </c>
      <c r="E122" s="150"/>
      <c r="F122" s="254"/>
      <c r="G122" s="151" t="str">
        <f>IF(D122='!'!$GJ$15,'!'!$GJ$15,(SUM(W122,X122,Y122,Z121,Q122)))</f>
        <v>N</v>
      </c>
      <c r="H122" s="52"/>
      <c r="I122" s="299" t="str">
        <f>IF($I$12="","",IFERROR(IF(Report!$D$4='!'!$HE$4,VLOOKUP(A122,Reference!$B$25:$H$390,4,FALSE),VLOOKUP(A122,Monitoring!$B$25:$H$390,4,FALSE)),""))</f>
        <v/>
      </c>
      <c r="J122" s="256"/>
      <c r="K122" s="299" t="str">
        <f>IF($K$12="","",IFERROR(IF(Report!$D$4='!'!$HE$4,VLOOKUP(A122,Reference!$B$25:$H$390,5,FALSE),VLOOKUP(A122,Monitoring!$B$25:$H$390,5,FALSE)),""))</f>
        <v/>
      </c>
      <c r="L122" s="256"/>
      <c r="M122" s="299" t="str">
        <f>IF($M$12="","",IFERROR(IF(Report!$D$4='!'!$HE$4,VLOOKUP(A122,Reference!$B$25:$H$390,6,FALSE),VLOOKUP(A122,Monitoring!$B$25:$H$390,6,FALSE)),""))</f>
        <v/>
      </c>
      <c r="N122" s="256"/>
      <c r="O122" s="299" t="str">
        <f>IF($O$12="","",IFERROR(IF(Report!$D$4='!'!$HE$4,VLOOKUP(A122,Reference!$B$25:$H$390,7,FALSE),VLOOKUP(A122,Monitoring!$B$25:$H$390,7,FALSE)),""))</f>
        <v/>
      </c>
      <c r="P122" s="52"/>
      <c r="Q122" s="151" t="str">
        <f>IF(B122='!'!$GJ$15,'!'!$GJ$15,$Q$12)</f>
        <v>N</v>
      </c>
      <c r="S122" s="4" t="str">
        <f>IFERROR(ABS(T122),'!'!$GJ$15)</f>
        <v>N</v>
      </c>
      <c r="T122" s="84" t="str">
        <f>IFERROR(+G122-D122,'!'!$GJ$15)</f>
        <v>N</v>
      </c>
      <c r="U122" s="64" t="str">
        <f t="shared" si="3"/>
        <v>N</v>
      </c>
      <c r="W122" s="153" t="str">
        <f>IFERROR(I$10*I122,'!'!$GJ$15)</f>
        <v>N</v>
      </c>
      <c r="X122" s="153" t="str">
        <f>IFERROR(K$10*K122,'!'!$GJ$15)</f>
        <v>N</v>
      </c>
      <c r="Y122" s="153" t="str">
        <f>IFERROR(M$10*M122,'!'!$GJ$15)</f>
        <v>N</v>
      </c>
      <c r="Z122" s="153" t="str">
        <f>IFERROR(O$10*O123,'!'!$GJ$15)</f>
        <v>N</v>
      </c>
    </row>
    <row r="123" spans="1:26" x14ac:dyDescent="0.35">
      <c r="A123" s="4">
        <f t="shared" si="2"/>
        <v>99</v>
      </c>
      <c r="B123" s="286" t="str">
        <f>IFERROR(IF(Report!$D$4='!'!$HE$4,VLOOKUP(A123,Reference!$B$25:$H$390,2,FALSE),VLOOKUP(A123,Monitoring!$B$25:$H$390,2,FALSE)),'!'!$GJ$15)</f>
        <v>N</v>
      </c>
      <c r="C123" s="58" t="str">
        <f>Reference!A123</f>
        <v/>
      </c>
      <c r="D123" s="287" t="str">
        <f>IFERROR(IF(Report!$D$4='!'!$HE$4,VLOOKUP(A123,Reference!$B$25:$H$390,3,FALSE),VLOOKUP(A123,Monitoring!$B$25:$H$390,3,FALSE)),'!'!$GJ$15)</f>
        <v>N</v>
      </c>
      <c r="E123" s="150"/>
      <c r="F123" s="254"/>
      <c r="G123" s="151" t="str">
        <f>IF(D123='!'!$GJ$15,'!'!$GJ$15,(SUM(W123,X123,Y123,Z122,Q123)))</f>
        <v>N</v>
      </c>
      <c r="H123" s="52"/>
      <c r="I123" s="299" t="str">
        <f>IF($I$12="","",IFERROR(IF(Report!$D$4='!'!$HE$4,VLOOKUP(A123,Reference!$B$25:$H$390,4,FALSE),VLOOKUP(A123,Monitoring!$B$25:$H$390,4,FALSE)),""))</f>
        <v/>
      </c>
      <c r="J123" s="256"/>
      <c r="K123" s="299" t="str">
        <f>IF($K$12="","",IFERROR(IF(Report!$D$4='!'!$HE$4,VLOOKUP(A123,Reference!$B$25:$H$390,5,FALSE),VLOOKUP(A123,Monitoring!$B$25:$H$390,5,FALSE)),""))</f>
        <v/>
      </c>
      <c r="L123" s="256"/>
      <c r="M123" s="299" t="str">
        <f>IF($M$12="","",IFERROR(IF(Report!$D$4='!'!$HE$4,VLOOKUP(A123,Reference!$B$25:$H$390,6,FALSE),VLOOKUP(A123,Monitoring!$B$25:$H$390,6,FALSE)),""))</f>
        <v/>
      </c>
      <c r="N123" s="256"/>
      <c r="O123" s="299" t="str">
        <f>IF($O$12="","",IFERROR(IF(Report!$D$4='!'!$HE$4,VLOOKUP(A123,Reference!$B$25:$H$390,7,FALSE),VLOOKUP(A123,Monitoring!$B$25:$H$390,7,FALSE)),""))</f>
        <v/>
      </c>
      <c r="P123" s="52"/>
      <c r="Q123" s="151" t="str">
        <f>IF(B123='!'!$GJ$15,'!'!$GJ$15,$Q$12)</f>
        <v>N</v>
      </c>
      <c r="S123" s="4" t="str">
        <f>IFERROR(ABS(T123),'!'!$GJ$15)</f>
        <v>N</v>
      </c>
      <c r="T123" s="84" t="str">
        <f>IFERROR(+G123-D123,'!'!$GJ$15)</f>
        <v>N</v>
      </c>
      <c r="U123" s="64" t="str">
        <f t="shared" si="3"/>
        <v>N</v>
      </c>
      <c r="W123" s="153" t="str">
        <f>IFERROR(I$10*I123,'!'!$GJ$15)</f>
        <v>N</v>
      </c>
      <c r="X123" s="153" t="str">
        <f>IFERROR(K$10*K123,'!'!$GJ$15)</f>
        <v>N</v>
      </c>
      <c r="Y123" s="153" t="str">
        <f>IFERROR(M$10*M123,'!'!$GJ$15)</f>
        <v>N</v>
      </c>
      <c r="Z123" s="153" t="str">
        <f>IFERROR(O$10*O124,'!'!$GJ$15)</f>
        <v>N</v>
      </c>
    </row>
    <row r="124" spans="1:26" x14ac:dyDescent="0.35">
      <c r="A124" s="4">
        <f t="shared" si="2"/>
        <v>100</v>
      </c>
      <c r="B124" s="286" t="str">
        <f>IFERROR(IF(Report!$D$4='!'!$HE$4,VLOOKUP(A124,Reference!$B$25:$H$390,2,FALSE),VLOOKUP(A124,Monitoring!$B$25:$H$390,2,FALSE)),'!'!$GJ$15)</f>
        <v>N</v>
      </c>
      <c r="C124" s="58" t="str">
        <f>Reference!A124</f>
        <v/>
      </c>
      <c r="D124" s="287" t="str">
        <f>IFERROR(IF(Report!$D$4='!'!$HE$4,VLOOKUP(A124,Reference!$B$25:$H$390,3,FALSE),VLOOKUP(A124,Monitoring!$B$25:$H$390,3,FALSE)),'!'!$GJ$15)</f>
        <v>N</v>
      </c>
      <c r="E124" s="150"/>
      <c r="F124" s="254"/>
      <c r="G124" s="151" t="str">
        <f>IF(D124='!'!$GJ$15,'!'!$GJ$15,(SUM(W124,X124,Y124,Z123,Q124)))</f>
        <v>N</v>
      </c>
      <c r="H124" s="52"/>
      <c r="I124" s="299" t="str">
        <f>IF($I$12="","",IFERROR(IF(Report!$D$4='!'!$HE$4,VLOOKUP(A124,Reference!$B$25:$H$390,4,FALSE),VLOOKUP(A124,Monitoring!$B$25:$H$390,4,FALSE)),""))</f>
        <v/>
      </c>
      <c r="J124" s="256"/>
      <c r="K124" s="299" t="str">
        <f>IF($K$12="","",IFERROR(IF(Report!$D$4='!'!$HE$4,VLOOKUP(A124,Reference!$B$25:$H$390,5,FALSE),VLOOKUP(A124,Monitoring!$B$25:$H$390,5,FALSE)),""))</f>
        <v/>
      </c>
      <c r="L124" s="256"/>
      <c r="M124" s="299" t="str">
        <f>IF($M$12="","",IFERROR(IF(Report!$D$4='!'!$HE$4,VLOOKUP(A124,Reference!$B$25:$H$390,6,FALSE),VLOOKUP(A124,Monitoring!$B$25:$H$390,6,FALSE)),""))</f>
        <v/>
      </c>
      <c r="N124" s="256"/>
      <c r="O124" s="299" t="str">
        <f>IF($O$12="","",IFERROR(IF(Report!$D$4='!'!$HE$4,VLOOKUP(A124,Reference!$B$25:$H$390,7,FALSE),VLOOKUP(A124,Monitoring!$B$25:$H$390,7,FALSE)),""))</f>
        <v/>
      </c>
      <c r="P124" s="52"/>
      <c r="Q124" s="151" t="str">
        <f>IF(B124='!'!$GJ$15,'!'!$GJ$15,$Q$12)</f>
        <v>N</v>
      </c>
      <c r="S124" s="4" t="str">
        <f>IFERROR(ABS(T124),'!'!$GJ$15)</f>
        <v>N</v>
      </c>
      <c r="T124" s="84" t="str">
        <f>IFERROR(+G124-D124,'!'!$GJ$15)</f>
        <v>N</v>
      </c>
      <c r="U124" s="64" t="str">
        <f t="shared" si="3"/>
        <v>N</v>
      </c>
      <c r="W124" s="153" t="str">
        <f>IFERROR(I$10*I124,'!'!$GJ$15)</f>
        <v>N</v>
      </c>
      <c r="X124" s="153" t="str">
        <f>IFERROR(K$10*K124,'!'!$GJ$15)</f>
        <v>N</v>
      </c>
      <c r="Y124" s="153" t="str">
        <f>IFERROR(M$10*M124,'!'!$GJ$15)</f>
        <v>N</v>
      </c>
      <c r="Z124" s="153" t="str">
        <f>IFERROR(O$10*O125,'!'!$GJ$15)</f>
        <v>N</v>
      </c>
    </row>
    <row r="125" spans="1:26" x14ac:dyDescent="0.35">
      <c r="A125" s="4">
        <f t="shared" si="2"/>
        <v>101</v>
      </c>
      <c r="B125" s="286" t="str">
        <f>IFERROR(IF(Report!$D$4='!'!$HE$4,VLOOKUP(A125,Reference!$B$25:$H$390,2,FALSE),VLOOKUP(A125,Monitoring!$B$25:$H$390,2,FALSE)),'!'!$GJ$15)</f>
        <v>N</v>
      </c>
      <c r="C125" s="58" t="str">
        <f>Reference!A125</f>
        <v/>
      </c>
      <c r="D125" s="287" t="str">
        <f>IFERROR(IF(Report!$D$4='!'!$HE$4,VLOOKUP(A125,Reference!$B$25:$H$390,3,FALSE),VLOOKUP(A125,Monitoring!$B$25:$H$390,3,FALSE)),'!'!$GJ$15)</f>
        <v>N</v>
      </c>
      <c r="E125" s="150"/>
      <c r="F125" s="254"/>
      <c r="G125" s="151" t="str">
        <f>IF(D125='!'!$GJ$15,'!'!$GJ$15,(SUM(W125,X125,Y125,Z124,Q125)))</f>
        <v>N</v>
      </c>
      <c r="H125" s="52"/>
      <c r="I125" s="299" t="str">
        <f>IF($I$12="","",IFERROR(IF(Report!$D$4='!'!$HE$4,VLOOKUP(A125,Reference!$B$25:$H$390,4,FALSE),VLOOKUP(A125,Monitoring!$B$25:$H$390,4,FALSE)),""))</f>
        <v/>
      </c>
      <c r="J125" s="256"/>
      <c r="K125" s="299" t="str">
        <f>IF($K$12="","",IFERROR(IF(Report!$D$4='!'!$HE$4,VLOOKUP(A125,Reference!$B$25:$H$390,5,FALSE),VLOOKUP(A125,Monitoring!$B$25:$H$390,5,FALSE)),""))</f>
        <v/>
      </c>
      <c r="L125" s="256"/>
      <c r="M125" s="299" t="str">
        <f>IF($M$12="","",IFERROR(IF(Report!$D$4='!'!$HE$4,VLOOKUP(A125,Reference!$B$25:$H$390,6,FALSE),VLOOKUP(A125,Monitoring!$B$25:$H$390,6,FALSE)),""))</f>
        <v/>
      </c>
      <c r="N125" s="256"/>
      <c r="O125" s="299" t="str">
        <f>IF($O$12="","",IFERROR(IF(Report!$D$4='!'!$HE$4,VLOOKUP(A125,Reference!$B$25:$H$390,7,FALSE),VLOOKUP(A125,Monitoring!$B$25:$H$390,7,FALSE)),""))</f>
        <v/>
      </c>
      <c r="P125" s="52"/>
      <c r="Q125" s="151" t="str">
        <f>IF(B125='!'!$GJ$15,'!'!$GJ$15,$Q$12)</f>
        <v>N</v>
      </c>
      <c r="S125" s="4" t="str">
        <f>IFERROR(ABS(T125),'!'!$GJ$15)</f>
        <v>N</v>
      </c>
      <c r="T125" s="84" t="str">
        <f>IFERROR(+G125-D125,'!'!$GJ$15)</f>
        <v>N</v>
      </c>
      <c r="U125" s="64" t="str">
        <f t="shared" si="3"/>
        <v>N</v>
      </c>
      <c r="W125" s="153" t="str">
        <f>IFERROR(I$10*I125,'!'!$GJ$15)</f>
        <v>N</v>
      </c>
      <c r="X125" s="153" t="str">
        <f>IFERROR(K$10*K125,'!'!$GJ$15)</f>
        <v>N</v>
      </c>
      <c r="Y125" s="153" t="str">
        <f>IFERROR(M$10*M125,'!'!$GJ$15)</f>
        <v>N</v>
      </c>
      <c r="Z125" s="153" t="str">
        <f>IFERROR(O$10*O126,'!'!$GJ$15)</f>
        <v>N</v>
      </c>
    </row>
    <row r="126" spans="1:26" x14ac:dyDescent="0.35">
      <c r="A126" s="4">
        <f t="shared" si="2"/>
        <v>102</v>
      </c>
      <c r="B126" s="286" t="str">
        <f>IFERROR(IF(Report!$D$4='!'!$HE$4,VLOOKUP(A126,Reference!$B$25:$H$390,2,FALSE),VLOOKUP(A126,Monitoring!$B$25:$H$390,2,FALSE)),'!'!$GJ$15)</f>
        <v>N</v>
      </c>
      <c r="C126" s="58" t="str">
        <f>Reference!A126</f>
        <v/>
      </c>
      <c r="D126" s="287" t="str">
        <f>IFERROR(IF(Report!$D$4='!'!$HE$4,VLOOKUP(A126,Reference!$B$25:$H$390,3,FALSE),VLOOKUP(A126,Monitoring!$B$25:$H$390,3,FALSE)),'!'!$GJ$15)</f>
        <v>N</v>
      </c>
      <c r="E126" s="150"/>
      <c r="F126" s="254"/>
      <c r="G126" s="151" t="str">
        <f>IF(D126='!'!$GJ$15,'!'!$GJ$15,(SUM(W126,X126,Y126,Z125,Q126)))</f>
        <v>N</v>
      </c>
      <c r="H126" s="52"/>
      <c r="I126" s="299" t="str">
        <f>IF($I$12="","",IFERROR(IF(Report!$D$4='!'!$HE$4,VLOOKUP(A126,Reference!$B$25:$H$390,4,FALSE),VLOOKUP(A126,Monitoring!$B$25:$H$390,4,FALSE)),""))</f>
        <v/>
      </c>
      <c r="J126" s="256"/>
      <c r="K126" s="299" t="str">
        <f>IF($K$12="","",IFERROR(IF(Report!$D$4='!'!$HE$4,VLOOKUP(A126,Reference!$B$25:$H$390,5,FALSE),VLOOKUP(A126,Monitoring!$B$25:$H$390,5,FALSE)),""))</f>
        <v/>
      </c>
      <c r="L126" s="256"/>
      <c r="M126" s="299" t="str">
        <f>IF($M$12="","",IFERROR(IF(Report!$D$4='!'!$HE$4,VLOOKUP(A126,Reference!$B$25:$H$390,6,FALSE),VLOOKUP(A126,Monitoring!$B$25:$H$390,6,FALSE)),""))</f>
        <v/>
      </c>
      <c r="N126" s="256"/>
      <c r="O126" s="299" t="str">
        <f>IF($O$12="","",IFERROR(IF(Report!$D$4='!'!$HE$4,VLOOKUP(A126,Reference!$B$25:$H$390,7,FALSE),VLOOKUP(A126,Monitoring!$B$25:$H$390,7,FALSE)),""))</f>
        <v/>
      </c>
      <c r="P126" s="52"/>
      <c r="Q126" s="151" t="str">
        <f>IF(B126='!'!$GJ$15,'!'!$GJ$15,$Q$12)</f>
        <v>N</v>
      </c>
      <c r="S126" s="4" t="str">
        <f>IFERROR(ABS(T126),'!'!$GJ$15)</f>
        <v>N</v>
      </c>
      <c r="T126" s="84" t="str">
        <f>IFERROR(+G126-D126,'!'!$GJ$15)</f>
        <v>N</v>
      </c>
      <c r="U126" s="64" t="str">
        <f t="shared" si="3"/>
        <v>N</v>
      </c>
      <c r="W126" s="153" t="str">
        <f>IFERROR(I$10*I126,'!'!$GJ$15)</f>
        <v>N</v>
      </c>
      <c r="X126" s="153" t="str">
        <f>IFERROR(K$10*K126,'!'!$GJ$15)</f>
        <v>N</v>
      </c>
      <c r="Y126" s="153" t="str">
        <f>IFERROR(M$10*M126,'!'!$GJ$15)</f>
        <v>N</v>
      </c>
      <c r="Z126" s="153" t="str">
        <f>IFERROR(O$10*O127,'!'!$GJ$15)</f>
        <v>N</v>
      </c>
    </row>
    <row r="127" spans="1:26" x14ac:dyDescent="0.35">
      <c r="A127" s="4">
        <f t="shared" si="2"/>
        <v>103</v>
      </c>
      <c r="B127" s="286" t="str">
        <f>IFERROR(IF(Report!$D$4='!'!$HE$4,VLOOKUP(A127,Reference!$B$25:$H$390,2,FALSE),VLOOKUP(A127,Monitoring!$B$25:$H$390,2,FALSE)),'!'!$GJ$15)</f>
        <v>N</v>
      </c>
      <c r="C127" s="58" t="str">
        <f>Reference!A127</f>
        <v/>
      </c>
      <c r="D127" s="287" t="str">
        <f>IFERROR(IF(Report!$D$4='!'!$HE$4,VLOOKUP(A127,Reference!$B$25:$H$390,3,FALSE),VLOOKUP(A127,Monitoring!$B$25:$H$390,3,FALSE)),'!'!$GJ$15)</f>
        <v>N</v>
      </c>
      <c r="E127" s="150"/>
      <c r="F127" s="254"/>
      <c r="G127" s="151" t="str">
        <f>IF(D127='!'!$GJ$15,'!'!$GJ$15,(SUM(W127,X127,Y127,Z126,Q127)))</f>
        <v>N</v>
      </c>
      <c r="H127" s="52"/>
      <c r="I127" s="299" t="str">
        <f>IF($I$12="","",IFERROR(IF(Report!$D$4='!'!$HE$4,VLOOKUP(A127,Reference!$B$25:$H$390,4,FALSE),VLOOKUP(A127,Monitoring!$B$25:$H$390,4,FALSE)),""))</f>
        <v/>
      </c>
      <c r="J127" s="256"/>
      <c r="K127" s="299" t="str">
        <f>IF($K$12="","",IFERROR(IF(Report!$D$4='!'!$HE$4,VLOOKUP(A127,Reference!$B$25:$H$390,5,FALSE),VLOOKUP(A127,Monitoring!$B$25:$H$390,5,FALSE)),""))</f>
        <v/>
      </c>
      <c r="L127" s="256"/>
      <c r="M127" s="299" t="str">
        <f>IF($M$12="","",IFERROR(IF(Report!$D$4='!'!$HE$4,VLOOKUP(A127,Reference!$B$25:$H$390,6,FALSE),VLOOKUP(A127,Monitoring!$B$25:$H$390,6,FALSE)),""))</f>
        <v/>
      </c>
      <c r="N127" s="256"/>
      <c r="O127" s="299" t="str">
        <f>IF($O$12="","",IFERROR(IF(Report!$D$4='!'!$HE$4,VLOOKUP(A127,Reference!$B$25:$H$390,7,FALSE),VLOOKUP(A127,Monitoring!$B$25:$H$390,7,FALSE)),""))</f>
        <v/>
      </c>
      <c r="P127" s="52"/>
      <c r="Q127" s="151" t="str">
        <f>IF(B127='!'!$GJ$15,'!'!$GJ$15,$Q$12)</f>
        <v>N</v>
      </c>
      <c r="S127" s="4" t="str">
        <f>IFERROR(ABS(T127),'!'!$GJ$15)</f>
        <v>N</v>
      </c>
      <c r="T127" s="84" t="str">
        <f>IFERROR(+G127-D127,'!'!$GJ$15)</f>
        <v>N</v>
      </c>
      <c r="U127" s="64" t="str">
        <f t="shared" si="3"/>
        <v>N</v>
      </c>
      <c r="W127" s="153" t="str">
        <f>IFERROR(I$10*I127,'!'!$GJ$15)</f>
        <v>N</v>
      </c>
      <c r="X127" s="153" t="str">
        <f>IFERROR(K$10*K127,'!'!$GJ$15)</f>
        <v>N</v>
      </c>
      <c r="Y127" s="153" t="str">
        <f>IFERROR(M$10*M127,'!'!$GJ$15)</f>
        <v>N</v>
      </c>
      <c r="Z127" s="153" t="str">
        <f>IFERROR(O$10*O128,'!'!$GJ$15)</f>
        <v>N</v>
      </c>
    </row>
    <row r="128" spans="1:26" x14ac:dyDescent="0.35">
      <c r="A128" s="4">
        <f t="shared" si="2"/>
        <v>104</v>
      </c>
      <c r="B128" s="286" t="str">
        <f>IFERROR(IF(Report!$D$4='!'!$HE$4,VLOOKUP(A128,Reference!$B$25:$H$390,2,FALSE),VLOOKUP(A128,Monitoring!$B$25:$H$390,2,FALSE)),'!'!$GJ$15)</f>
        <v>N</v>
      </c>
      <c r="C128" s="58" t="str">
        <f>Reference!A128</f>
        <v/>
      </c>
      <c r="D128" s="287" t="str">
        <f>IFERROR(IF(Report!$D$4='!'!$HE$4,VLOOKUP(A128,Reference!$B$25:$H$390,3,FALSE),VLOOKUP(A128,Monitoring!$B$25:$H$390,3,FALSE)),'!'!$GJ$15)</f>
        <v>N</v>
      </c>
      <c r="E128" s="150"/>
      <c r="F128" s="254"/>
      <c r="G128" s="151" t="str">
        <f>IF(D128='!'!$GJ$15,'!'!$GJ$15,(SUM(W128,X128,Y128,Z127,Q128)))</f>
        <v>N</v>
      </c>
      <c r="H128" s="52"/>
      <c r="I128" s="299" t="str">
        <f>IF($I$12="","",IFERROR(IF(Report!$D$4='!'!$HE$4,VLOOKUP(A128,Reference!$B$25:$H$390,4,FALSE),VLOOKUP(A128,Monitoring!$B$25:$H$390,4,FALSE)),""))</f>
        <v/>
      </c>
      <c r="J128" s="256"/>
      <c r="K128" s="299" t="str">
        <f>IF($K$12="","",IFERROR(IF(Report!$D$4='!'!$HE$4,VLOOKUP(A128,Reference!$B$25:$H$390,5,FALSE),VLOOKUP(A128,Monitoring!$B$25:$H$390,5,FALSE)),""))</f>
        <v/>
      </c>
      <c r="L128" s="256"/>
      <c r="M128" s="299" t="str">
        <f>IF($M$12="","",IFERROR(IF(Report!$D$4='!'!$HE$4,VLOOKUP(A128,Reference!$B$25:$H$390,6,FALSE),VLOOKUP(A128,Monitoring!$B$25:$H$390,6,FALSE)),""))</f>
        <v/>
      </c>
      <c r="N128" s="256"/>
      <c r="O128" s="299" t="str">
        <f>IF($O$12="","",IFERROR(IF(Report!$D$4='!'!$HE$4,VLOOKUP(A128,Reference!$B$25:$H$390,7,FALSE),VLOOKUP(A128,Monitoring!$B$25:$H$390,7,FALSE)),""))</f>
        <v/>
      </c>
      <c r="P128" s="52"/>
      <c r="Q128" s="151" t="str">
        <f>IF(B128='!'!$GJ$15,'!'!$GJ$15,$Q$12)</f>
        <v>N</v>
      </c>
      <c r="S128" s="4" t="str">
        <f>IFERROR(ABS(T128),'!'!$GJ$15)</f>
        <v>N</v>
      </c>
      <c r="T128" s="84" t="str">
        <f>IFERROR(+G128-D128,'!'!$GJ$15)</f>
        <v>N</v>
      </c>
      <c r="U128" s="64" t="str">
        <f t="shared" si="3"/>
        <v>N</v>
      </c>
      <c r="W128" s="153" t="str">
        <f>IFERROR(I$10*I128,'!'!$GJ$15)</f>
        <v>N</v>
      </c>
      <c r="X128" s="153" t="str">
        <f>IFERROR(K$10*K128,'!'!$GJ$15)</f>
        <v>N</v>
      </c>
      <c r="Y128" s="153" t="str">
        <f>IFERROR(M$10*M128,'!'!$GJ$15)</f>
        <v>N</v>
      </c>
      <c r="Z128" s="153" t="str">
        <f>IFERROR(O$10*O129,'!'!$GJ$15)</f>
        <v>N</v>
      </c>
    </row>
    <row r="129" spans="1:26" x14ac:dyDescent="0.35">
      <c r="A129" s="4">
        <f t="shared" si="2"/>
        <v>105</v>
      </c>
      <c r="B129" s="286" t="str">
        <f>IFERROR(IF(Report!$D$4='!'!$HE$4,VLOOKUP(A129,Reference!$B$25:$H$390,2,FALSE),VLOOKUP(A129,Monitoring!$B$25:$H$390,2,FALSE)),'!'!$GJ$15)</f>
        <v>N</v>
      </c>
      <c r="C129" s="58" t="str">
        <f>Reference!A129</f>
        <v/>
      </c>
      <c r="D129" s="287" t="str">
        <f>IFERROR(IF(Report!$D$4='!'!$HE$4,VLOOKUP(A129,Reference!$B$25:$H$390,3,FALSE),VLOOKUP(A129,Monitoring!$B$25:$H$390,3,FALSE)),'!'!$GJ$15)</f>
        <v>N</v>
      </c>
      <c r="E129" s="150"/>
      <c r="F129" s="254"/>
      <c r="G129" s="151" t="str">
        <f>IF(D129='!'!$GJ$15,'!'!$GJ$15,(SUM(W129,X129,Y129,Z128,Q129)))</f>
        <v>N</v>
      </c>
      <c r="H129" s="52"/>
      <c r="I129" s="299" t="str">
        <f>IF($I$12="","",IFERROR(IF(Report!$D$4='!'!$HE$4,VLOOKUP(A129,Reference!$B$25:$H$390,4,FALSE),VLOOKUP(A129,Monitoring!$B$25:$H$390,4,FALSE)),""))</f>
        <v/>
      </c>
      <c r="J129" s="256"/>
      <c r="K129" s="299" t="str">
        <f>IF($K$12="","",IFERROR(IF(Report!$D$4='!'!$HE$4,VLOOKUP(A129,Reference!$B$25:$H$390,5,FALSE),VLOOKUP(A129,Monitoring!$B$25:$H$390,5,FALSE)),""))</f>
        <v/>
      </c>
      <c r="L129" s="256"/>
      <c r="M129" s="299" t="str">
        <f>IF($M$12="","",IFERROR(IF(Report!$D$4='!'!$HE$4,VLOOKUP(A129,Reference!$B$25:$H$390,6,FALSE),VLOOKUP(A129,Monitoring!$B$25:$H$390,6,FALSE)),""))</f>
        <v/>
      </c>
      <c r="N129" s="256"/>
      <c r="O129" s="299" t="str">
        <f>IF($O$12="","",IFERROR(IF(Report!$D$4='!'!$HE$4,VLOOKUP(A129,Reference!$B$25:$H$390,7,FALSE),VLOOKUP(A129,Monitoring!$B$25:$H$390,7,FALSE)),""))</f>
        <v/>
      </c>
      <c r="P129" s="52"/>
      <c r="Q129" s="151" t="str">
        <f>IF(B129='!'!$GJ$15,'!'!$GJ$15,$Q$12)</f>
        <v>N</v>
      </c>
      <c r="S129" s="4" t="str">
        <f>IFERROR(ABS(T129),'!'!$GJ$15)</f>
        <v>N</v>
      </c>
      <c r="T129" s="84" t="str">
        <f>IFERROR(+G129-D129,'!'!$GJ$15)</f>
        <v>N</v>
      </c>
      <c r="U129" s="64" t="str">
        <f t="shared" si="3"/>
        <v>N</v>
      </c>
      <c r="W129" s="153" t="str">
        <f>IFERROR(I$10*I129,'!'!$GJ$15)</f>
        <v>N</v>
      </c>
      <c r="X129" s="153" t="str">
        <f>IFERROR(K$10*K129,'!'!$GJ$15)</f>
        <v>N</v>
      </c>
      <c r="Y129" s="153" t="str">
        <f>IFERROR(M$10*M129,'!'!$GJ$15)</f>
        <v>N</v>
      </c>
      <c r="Z129" s="153" t="str">
        <f>IFERROR(O$10*O130,'!'!$GJ$15)</f>
        <v>N</v>
      </c>
    </row>
    <row r="130" spans="1:26" x14ac:dyDescent="0.35">
      <c r="A130" s="4">
        <f t="shared" si="2"/>
        <v>106</v>
      </c>
      <c r="B130" s="286" t="str">
        <f>IFERROR(IF(Report!$D$4='!'!$HE$4,VLOOKUP(A130,Reference!$B$25:$H$390,2,FALSE),VLOOKUP(A130,Monitoring!$B$25:$H$390,2,FALSE)),'!'!$GJ$15)</f>
        <v>N</v>
      </c>
      <c r="C130" s="58" t="str">
        <f>Reference!A130</f>
        <v/>
      </c>
      <c r="D130" s="287" t="str">
        <f>IFERROR(IF(Report!$D$4='!'!$HE$4,VLOOKUP(A130,Reference!$B$25:$H$390,3,FALSE),VLOOKUP(A130,Monitoring!$B$25:$H$390,3,FALSE)),'!'!$GJ$15)</f>
        <v>N</v>
      </c>
      <c r="E130" s="150"/>
      <c r="F130" s="254"/>
      <c r="G130" s="151" t="str">
        <f>IF(D130='!'!$GJ$15,'!'!$GJ$15,(SUM(W130,X130,Y130,Z129,Q130)))</f>
        <v>N</v>
      </c>
      <c r="H130" s="52"/>
      <c r="I130" s="299" t="str">
        <f>IF($I$12="","",IFERROR(IF(Report!$D$4='!'!$HE$4,VLOOKUP(A130,Reference!$B$25:$H$390,4,FALSE),VLOOKUP(A130,Monitoring!$B$25:$H$390,4,FALSE)),""))</f>
        <v/>
      </c>
      <c r="J130" s="256"/>
      <c r="K130" s="299" t="str">
        <f>IF($K$12="","",IFERROR(IF(Report!$D$4='!'!$HE$4,VLOOKUP(A130,Reference!$B$25:$H$390,5,FALSE),VLOOKUP(A130,Monitoring!$B$25:$H$390,5,FALSE)),""))</f>
        <v/>
      </c>
      <c r="L130" s="256"/>
      <c r="M130" s="299" t="str">
        <f>IF($M$12="","",IFERROR(IF(Report!$D$4='!'!$HE$4,VLOOKUP(A130,Reference!$B$25:$H$390,6,FALSE),VLOOKUP(A130,Monitoring!$B$25:$H$390,6,FALSE)),""))</f>
        <v/>
      </c>
      <c r="N130" s="256"/>
      <c r="O130" s="299" t="str">
        <f>IF($O$12="","",IFERROR(IF(Report!$D$4='!'!$HE$4,VLOOKUP(A130,Reference!$B$25:$H$390,7,FALSE),VLOOKUP(A130,Monitoring!$B$25:$H$390,7,FALSE)),""))</f>
        <v/>
      </c>
      <c r="P130" s="52"/>
      <c r="Q130" s="151" t="str">
        <f>IF(B130='!'!$GJ$15,'!'!$GJ$15,$Q$12)</f>
        <v>N</v>
      </c>
      <c r="S130" s="4" t="str">
        <f>IFERROR(ABS(T130),'!'!$GJ$15)</f>
        <v>N</v>
      </c>
      <c r="T130" s="84" t="str">
        <f>IFERROR(+G130-D130,'!'!$GJ$15)</f>
        <v>N</v>
      </c>
      <c r="U130" s="64" t="str">
        <f t="shared" si="3"/>
        <v>N</v>
      </c>
      <c r="W130" s="153" t="str">
        <f>IFERROR(I$10*I130,'!'!$GJ$15)</f>
        <v>N</v>
      </c>
      <c r="X130" s="153" t="str">
        <f>IFERROR(K$10*K130,'!'!$GJ$15)</f>
        <v>N</v>
      </c>
      <c r="Y130" s="153" t="str">
        <f>IFERROR(M$10*M130,'!'!$GJ$15)</f>
        <v>N</v>
      </c>
      <c r="Z130" s="153" t="str">
        <f>IFERROR(O$10*O131,'!'!$GJ$15)</f>
        <v>N</v>
      </c>
    </row>
    <row r="131" spans="1:26" x14ac:dyDescent="0.35">
      <c r="A131" s="4">
        <f t="shared" si="2"/>
        <v>107</v>
      </c>
      <c r="B131" s="286" t="str">
        <f>IFERROR(IF(Report!$D$4='!'!$HE$4,VLOOKUP(A131,Reference!$B$25:$H$390,2,FALSE),VLOOKUP(A131,Monitoring!$B$25:$H$390,2,FALSE)),'!'!$GJ$15)</f>
        <v>N</v>
      </c>
      <c r="C131" s="58" t="str">
        <f>Reference!A131</f>
        <v/>
      </c>
      <c r="D131" s="287" t="str">
        <f>IFERROR(IF(Report!$D$4='!'!$HE$4,VLOOKUP(A131,Reference!$B$25:$H$390,3,FALSE),VLOOKUP(A131,Monitoring!$B$25:$H$390,3,FALSE)),'!'!$GJ$15)</f>
        <v>N</v>
      </c>
      <c r="E131" s="285"/>
      <c r="F131" s="234"/>
      <c r="G131" s="151" t="str">
        <f>IF(D131='!'!$GJ$15,'!'!$GJ$15,(SUM(W131,X131,Y131,Z130,Q131)))</f>
        <v>N</v>
      </c>
      <c r="H131" s="51"/>
      <c r="I131" s="299" t="str">
        <f>IF($I$12="","",IFERROR(IF(Report!$D$4='!'!$HE$4,VLOOKUP(A131,Reference!$B$25:$H$390,4,FALSE),VLOOKUP(A131,Monitoring!$B$25:$H$390,4,FALSE)),""))</f>
        <v/>
      </c>
      <c r="J131" s="256"/>
      <c r="K131" s="299" t="str">
        <f>IF($K$12="","",IFERROR(IF(Report!$D$4='!'!$HE$4,VLOOKUP(A131,Reference!$B$25:$H$390,5,FALSE),VLOOKUP(A131,Monitoring!$B$25:$H$390,5,FALSE)),""))</f>
        <v/>
      </c>
      <c r="L131" s="256"/>
      <c r="M131" s="299" t="str">
        <f>IF($M$12="","",IFERROR(IF(Report!$D$4='!'!$HE$4,VLOOKUP(A131,Reference!$B$25:$H$390,6,FALSE),VLOOKUP(A131,Monitoring!$B$25:$H$390,6,FALSE)),""))</f>
        <v/>
      </c>
      <c r="N131" s="256"/>
      <c r="O131" s="299" t="str">
        <f>IF($O$12="","",IFERROR(IF(Report!$D$4='!'!$HE$4,VLOOKUP(A131,Reference!$B$25:$H$390,7,FALSE),VLOOKUP(A131,Monitoring!$B$25:$H$390,7,FALSE)),""))</f>
        <v/>
      </c>
      <c r="P131" s="51"/>
      <c r="Q131" s="151" t="str">
        <f>IF(B131='!'!$GJ$15,'!'!$GJ$15,$Q$12)</f>
        <v>N</v>
      </c>
      <c r="S131" s="4" t="str">
        <f>IFERROR(ABS(T131),'!'!$GJ$15)</f>
        <v>N</v>
      </c>
      <c r="T131" s="84" t="str">
        <f>IFERROR(+G131-D131,'!'!$GJ$15)</f>
        <v>N</v>
      </c>
      <c r="U131" s="64" t="str">
        <f t="shared" si="3"/>
        <v>N</v>
      </c>
      <c r="W131" s="153" t="str">
        <f>IFERROR(I$10*I131,'!'!$GJ$15)</f>
        <v>N</v>
      </c>
      <c r="X131" s="153" t="str">
        <f>IFERROR(K$10*K131,'!'!$GJ$15)</f>
        <v>N</v>
      </c>
      <c r="Y131" s="153" t="str">
        <f>IFERROR(M$10*M131,'!'!$GJ$15)</f>
        <v>N</v>
      </c>
      <c r="Z131" s="153" t="str">
        <f>IFERROR(O$10*O132,'!'!$GJ$15)</f>
        <v>N</v>
      </c>
    </row>
    <row r="132" spans="1:26" x14ac:dyDescent="0.35">
      <c r="A132" s="4">
        <f t="shared" si="2"/>
        <v>108</v>
      </c>
      <c r="B132" s="286" t="str">
        <f>IFERROR(IF(Report!$D$4='!'!$HE$4,VLOOKUP(A132,Reference!$B$25:$H$390,2,FALSE),VLOOKUP(A132,Monitoring!$B$25:$H$390,2,FALSE)),'!'!$GJ$15)</f>
        <v>N</v>
      </c>
      <c r="C132" s="58" t="str">
        <f>Reference!A132</f>
        <v/>
      </c>
      <c r="D132" s="287" t="str">
        <f>IFERROR(IF(Report!$D$4='!'!$HE$4,VLOOKUP(A132,Reference!$B$25:$H$390,3,FALSE),VLOOKUP(A132,Monitoring!$B$25:$H$390,3,FALSE)),'!'!$GJ$15)</f>
        <v>N</v>
      </c>
      <c r="E132" s="285"/>
      <c r="F132" s="234"/>
      <c r="G132" s="151" t="str">
        <f>IF(D132='!'!$GJ$15,'!'!$GJ$15,(SUM(W132,X132,Y132,Z131,Q132)))</f>
        <v>N</v>
      </c>
      <c r="H132" s="51"/>
      <c r="I132" s="299" t="str">
        <f>IF($I$12="","",IFERROR(IF(Report!$D$4='!'!$HE$4,VLOOKUP(A132,Reference!$B$25:$H$390,4,FALSE),VLOOKUP(A132,Monitoring!$B$25:$H$390,4,FALSE)),""))</f>
        <v/>
      </c>
      <c r="J132" s="256"/>
      <c r="K132" s="299" t="str">
        <f>IF($K$12="","",IFERROR(IF(Report!$D$4='!'!$HE$4,VLOOKUP(A132,Reference!$B$25:$H$390,5,FALSE),VLOOKUP(A132,Monitoring!$B$25:$H$390,5,FALSE)),""))</f>
        <v/>
      </c>
      <c r="L132" s="256"/>
      <c r="M132" s="299" t="str">
        <f>IF($M$12="","",IFERROR(IF(Report!$D$4='!'!$HE$4,VLOOKUP(A132,Reference!$B$25:$H$390,6,FALSE),VLOOKUP(A132,Monitoring!$B$25:$H$390,6,FALSE)),""))</f>
        <v/>
      </c>
      <c r="N132" s="256"/>
      <c r="O132" s="299" t="str">
        <f>IF($O$12="","",IFERROR(IF(Report!$D$4='!'!$HE$4,VLOOKUP(A132,Reference!$B$25:$H$390,7,FALSE),VLOOKUP(A132,Monitoring!$B$25:$H$390,7,FALSE)),""))</f>
        <v/>
      </c>
      <c r="P132" s="51"/>
      <c r="Q132" s="151" t="str">
        <f>IF(B132='!'!$GJ$15,'!'!$GJ$15,$Q$12)</f>
        <v>N</v>
      </c>
      <c r="S132" s="4" t="str">
        <f>IFERROR(ABS(T132),'!'!$GJ$15)</f>
        <v>N</v>
      </c>
      <c r="T132" s="84" t="str">
        <f>IFERROR(+G132-D132,'!'!$GJ$15)</f>
        <v>N</v>
      </c>
      <c r="U132" s="64" t="str">
        <f t="shared" si="3"/>
        <v>N</v>
      </c>
      <c r="W132" s="153" t="str">
        <f>IFERROR(I$10*I132,'!'!$GJ$15)</f>
        <v>N</v>
      </c>
      <c r="X132" s="153" t="str">
        <f>IFERROR(K$10*K132,'!'!$GJ$15)</f>
        <v>N</v>
      </c>
      <c r="Y132" s="153" t="str">
        <f>IFERROR(M$10*M132,'!'!$GJ$15)</f>
        <v>N</v>
      </c>
      <c r="Z132" s="153" t="str">
        <f>IFERROR(O$10*O133,'!'!$GJ$15)</f>
        <v>N</v>
      </c>
    </row>
    <row r="133" spans="1:26" x14ac:dyDescent="0.35">
      <c r="A133" s="4">
        <f t="shared" si="2"/>
        <v>109</v>
      </c>
      <c r="B133" s="286" t="str">
        <f>IFERROR(IF(Report!$D$4='!'!$HE$4,VLOOKUP(A133,Reference!$B$25:$H$390,2,FALSE),VLOOKUP(A133,Monitoring!$B$25:$H$390,2,FALSE)),'!'!$GJ$15)</f>
        <v>N</v>
      </c>
      <c r="C133" s="58" t="str">
        <f>Reference!A133</f>
        <v/>
      </c>
      <c r="D133" s="287" t="str">
        <f>IFERROR(IF(Report!$D$4='!'!$HE$4,VLOOKUP(A133,Reference!$B$25:$H$390,3,FALSE),VLOOKUP(A133,Monitoring!$B$25:$H$390,3,FALSE)),'!'!$GJ$15)</f>
        <v>N</v>
      </c>
      <c r="E133" s="285"/>
      <c r="F133" s="254"/>
      <c r="G133" s="151" t="str">
        <f>IF(D133='!'!$GJ$15,'!'!$GJ$15,(SUM(W133,X133,Y133,Z132,Q133)))</f>
        <v>N</v>
      </c>
      <c r="H133" s="51"/>
      <c r="I133" s="299" t="str">
        <f>IF($I$12="","",IFERROR(IF(Report!$D$4='!'!$HE$4,VLOOKUP(A133,Reference!$B$25:$H$390,4,FALSE),VLOOKUP(A133,Monitoring!$B$25:$H$390,4,FALSE)),""))</f>
        <v/>
      </c>
      <c r="J133" s="256"/>
      <c r="K133" s="299" t="str">
        <f>IF($K$12="","",IFERROR(IF(Report!$D$4='!'!$HE$4,VLOOKUP(A133,Reference!$B$25:$H$390,5,FALSE),VLOOKUP(A133,Monitoring!$B$25:$H$390,5,FALSE)),""))</f>
        <v/>
      </c>
      <c r="L133" s="256"/>
      <c r="M133" s="299" t="str">
        <f>IF($M$12="","",IFERROR(IF(Report!$D$4='!'!$HE$4,VLOOKUP(A133,Reference!$B$25:$H$390,6,FALSE),VLOOKUP(A133,Monitoring!$B$25:$H$390,6,FALSE)),""))</f>
        <v/>
      </c>
      <c r="N133" s="256"/>
      <c r="O133" s="299" t="str">
        <f>IF($O$12="","",IFERROR(IF(Report!$D$4='!'!$HE$4,VLOOKUP(A133,Reference!$B$25:$H$390,7,FALSE),VLOOKUP(A133,Monitoring!$B$25:$H$390,7,FALSE)),""))</f>
        <v/>
      </c>
      <c r="P133" s="51"/>
      <c r="Q133" s="151" t="str">
        <f>IF(B133='!'!$GJ$15,'!'!$GJ$15,$Q$12)</f>
        <v>N</v>
      </c>
      <c r="S133" s="4" t="str">
        <f>IFERROR(ABS(T133),'!'!$GJ$15)</f>
        <v>N</v>
      </c>
      <c r="T133" s="84" t="str">
        <f>IFERROR(+G133-D133,'!'!$GJ$15)</f>
        <v>N</v>
      </c>
      <c r="U133" s="64" t="str">
        <f t="shared" si="3"/>
        <v>N</v>
      </c>
      <c r="W133" s="153" t="str">
        <f>IFERROR(I$10*I133,'!'!$GJ$15)</f>
        <v>N</v>
      </c>
      <c r="X133" s="153" t="str">
        <f>IFERROR(K$10*K133,'!'!$GJ$15)</f>
        <v>N</v>
      </c>
      <c r="Y133" s="153" t="str">
        <f>IFERROR(M$10*M133,'!'!$GJ$15)</f>
        <v>N</v>
      </c>
      <c r="Z133" s="153" t="str">
        <f>IFERROR(O$10*O134,'!'!$GJ$15)</f>
        <v>N</v>
      </c>
    </row>
    <row r="134" spans="1:26" x14ac:dyDescent="0.35">
      <c r="A134" s="4">
        <f t="shared" si="2"/>
        <v>110</v>
      </c>
      <c r="B134" s="286" t="str">
        <f>IFERROR(IF(Report!$D$4='!'!$HE$4,VLOOKUP(A134,Reference!$B$25:$H$390,2,FALSE),VLOOKUP(A134,Monitoring!$B$25:$H$390,2,FALSE)),'!'!$GJ$15)</f>
        <v>N</v>
      </c>
      <c r="C134" s="58" t="str">
        <f>Reference!A134</f>
        <v/>
      </c>
      <c r="D134" s="287" t="str">
        <f>IFERROR(IF(Report!$D$4='!'!$HE$4,VLOOKUP(A134,Reference!$B$25:$H$390,3,FALSE),VLOOKUP(A134,Monitoring!$B$25:$H$390,3,FALSE)),'!'!$GJ$15)</f>
        <v>N</v>
      </c>
      <c r="E134" s="285"/>
      <c r="F134" s="254"/>
      <c r="G134" s="151" t="str">
        <f>IF(D134='!'!$GJ$15,'!'!$GJ$15,(SUM(W134,X134,Y134,Z133,Q134)))</f>
        <v>N</v>
      </c>
      <c r="H134" s="51"/>
      <c r="I134" s="299" t="str">
        <f>IF($I$12="","",IFERROR(IF(Report!$D$4='!'!$HE$4,VLOOKUP(A134,Reference!$B$25:$H$390,4,FALSE),VLOOKUP(A134,Monitoring!$B$25:$H$390,4,FALSE)),""))</f>
        <v/>
      </c>
      <c r="J134" s="256"/>
      <c r="K134" s="299" t="str">
        <f>IF($K$12="","",IFERROR(IF(Report!$D$4='!'!$HE$4,VLOOKUP(A134,Reference!$B$25:$H$390,5,FALSE),VLOOKUP(A134,Monitoring!$B$25:$H$390,5,FALSE)),""))</f>
        <v/>
      </c>
      <c r="L134" s="256"/>
      <c r="M134" s="299" t="str">
        <f>IF($M$12="","",IFERROR(IF(Report!$D$4='!'!$HE$4,VLOOKUP(A134,Reference!$B$25:$H$390,6,FALSE),VLOOKUP(A134,Monitoring!$B$25:$H$390,6,FALSE)),""))</f>
        <v/>
      </c>
      <c r="N134" s="256"/>
      <c r="O134" s="299" t="str">
        <f>IF($O$12="","",IFERROR(IF(Report!$D$4='!'!$HE$4,VLOOKUP(A134,Reference!$B$25:$H$390,7,FALSE),VLOOKUP(A134,Monitoring!$B$25:$H$390,7,FALSE)),""))</f>
        <v/>
      </c>
      <c r="P134" s="51"/>
      <c r="Q134" s="151" t="str">
        <f>IF(B134='!'!$GJ$15,'!'!$GJ$15,$Q$12)</f>
        <v>N</v>
      </c>
      <c r="S134" s="4" t="str">
        <f>IFERROR(ABS(T134),'!'!$GJ$15)</f>
        <v>N</v>
      </c>
      <c r="T134" s="84" t="str">
        <f>IFERROR(+G134-D134,'!'!$GJ$15)</f>
        <v>N</v>
      </c>
      <c r="U134" s="64" t="str">
        <f t="shared" si="3"/>
        <v>N</v>
      </c>
      <c r="W134" s="153" t="str">
        <f>IFERROR(I$10*I134,'!'!$GJ$15)</f>
        <v>N</v>
      </c>
      <c r="X134" s="153" t="str">
        <f>IFERROR(K$10*K134,'!'!$GJ$15)</f>
        <v>N</v>
      </c>
      <c r="Y134" s="153" t="str">
        <f>IFERROR(M$10*M134,'!'!$GJ$15)</f>
        <v>N</v>
      </c>
      <c r="Z134" s="153" t="str">
        <f>IFERROR(O$10*O135,'!'!$GJ$15)</f>
        <v>N</v>
      </c>
    </row>
    <row r="135" spans="1:26" x14ac:dyDescent="0.35">
      <c r="A135" s="4">
        <f t="shared" si="2"/>
        <v>111</v>
      </c>
      <c r="B135" s="286" t="str">
        <f>IFERROR(IF(Report!$D$4='!'!$HE$4,VLOOKUP(A135,Reference!$B$25:$H$390,2,FALSE),VLOOKUP(A135,Monitoring!$B$25:$H$390,2,FALSE)),'!'!$GJ$15)</f>
        <v>N</v>
      </c>
      <c r="C135" s="58" t="str">
        <f>Reference!A135</f>
        <v/>
      </c>
      <c r="D135" s="287" t="str">
        <f>IFERROR(IF(Report!$D$4='!'!$HE$4,VLOOKUP(A135,Reference!$B$25:$H$390,3,FALSE),VLOOKUP(A135,Monitoring!$B$25:$H$390,3,FALSE)),'!'!$GJ$15)</f>
        <v>N</v>
      </c>
      <c r="E135" s="285"/>
      <c r="F135" s="254"/>
      <c r="G135" s="151" t="str">
        <f>IF(D135='!'!$GJ$15,'!'!$GJ$15,(SUM(W135,X135,Y135,Z134,Q135)))</f>
        <v>N</v>
      </c>
      <c r="H135" s="51"/>
      <c r="I135" s="299" t="str">
        <f>IF($I$12="","",IFERROR(IF(Report!$D$4='!'!$HE$4,VLOOKUP(A135,Reference!$B$25:$H$390,4,FALSE),VLOOKUP(A135,Monitoring!$B$25:$H$390,4,FALSE)),""))</f>
        <v/>
      </c>
      <c r="J135" s="256"/>
      <c r="K135" s="299" t="str">
        <f>IF($K$12="","",IFERROR(IF(Report!$D$4='!'!$HE$4,VLOOKUP(A135,Reference!$B$25:$H$390,5,FALSE),VLOOKUP(A135,Monitoring!$B$25:$H$390,5,FALSE)),""))</f>
        <v/>
      </c>
      <c r="L135" s="256"/>
      <c r="M135" s="299" t="str">
        <f>IF($M$12="","",IFERROR(IF(Report!$D$4='!'!$HE$4,VLOOKUP(A135,Reference!$B$25:$H$390,6,FALSE),VLOOKUP(A135,Monitoring!$B$25:$H$390,6,FALSE)),""))</f>
        <v/>
      </c>
      <c r="N135" s="256"/>
      <c r="O135" s="299" t="str">
        <f>IF($O$12="","",IFERROR(IF(Report!$D$4='!'!$HE$4,VLOOKUP(A135,Reference!$B$25:$H$390,7,FALSE),VLOOKUP(A135,Monitoring!$B$25:$H$390,7,FALSE)),""))</f>
        <v/>
      </c>
      <c r="P135" s="51"/>
      <c r="Q135" s="151" t="str">
        <f>IF(B135='!'!$GJ$15,'!'!$GJ$15,$Q$12)</f>
        <v>N</v>
      </c>
      <c r="S135" s="4" t="str">
        <f>IFERROR(ABS(T135),'!'!$GJ$15)</f>
        <v>N</v>
      </c>
      <c r="T135" s="84" t="str">
        <f>IFERROR(+G135-D135,'!'!$GJ$15)</f>
        <v>N</v>
      </c>
      <c r="U135" s="64" t="str">
        <f t="shared" si="3"/>
        <v>N</v>
      </c>
      <c r="W135" s="153" t="str">
        <f>IFERROR(I$10*I135,'!'!$GJ$15)</f>
        <v>N</v>
      </c>
      <c r="X135" s="153" t="str">
        <f>IFERROR(K$10*K135,'!'!$GJ$15)</f>
        <v>N</v>
      </c>
      <c r="Y135" s="153" t="str">
        <f>IFERROR(M$10*M135,'!'!$GJ$15)</f>
        <v>N</v>
      </c>
      <c r="Z135" s="153" t="str">
        <f>IFERROR(O$10*O136,'!'!$GJ$15)</f>
        <v>N</v>
      </c>
    </row>
    <row r="136" spans="1:26" x14ac:dyDescent="0.35">
      <c r="A136" s="4">
        <f t="shared" si="2"/>
        <v>112</v>
      </c>
      <c r="B136" s="286" t="str">
        <f>IFERROR(IF(Report!$D$4='!'!$HE$4,VLOOKUP(A136,Reference!$B$25:$H$390,2,FALSE),VLOOKUP(A136,Monitoring!$B$25:$H$390,2,FALSE)),'!'!$GJ$15)</f>
        <v>N</v>
      </c>
      <c r="C136" s="58" t="str">
        <f>Reference!A136</f>
        <v/>
      </c>
      <c r="D136" s="287" t="str">
        <f>IFERROR(IF(Report!$D$4='!'!$HE$4,VLOOKUP(A136,Reference!$B$25:$H$390,3,FALSE),VLOOKUP(A136,Monitoring!$B$25:$H$390,3,FALSE)),'!'!$GJ$15)</f>
        <v>N</v>
      </c>
      <c r="E136" s="285"/>
      <c r="F136" s="254"/>
      <c r="G136" s="151" t="str">
        <f>IF(D136='!'!$GJ$15,'!'!$GJ$15,(SUM(W136,X136,Y136,Z135,Q136)))</f>
        <v>N</v>
      </c>
      <c r="H136" s="51"/>
      <c r="I136" s="299" t="str">
        <f>IF($I$12="","",IFERROR(IF(Report!$D$4='!'!$HE$4,VLOOKUP(A136,Reference!$B$25:$H$390,4,FALSE),VLOOKUP(A136,Monitoring!$B$25:$H$390,4,FALSE)),""))</f>
        <v/>
      </c>
      <c r="J136" s="256"/>
      <c r="K136" s="299" t="str">
        <f>IF($K$12="","",IFERROR(IF(Report!$D$4='!'!$HE$4,VLOOKUP(A136,Reference!$B$25:$H$390,5,FALSE),VLOOKUP(A136,Monitoring!$B$25:$H$390,5,FALSE)),""))</f>
        <v/>
      </c>
      <c r="L136" s="256"/>
      <c r="M136" s="299" t="str">
        <f>IF($M$12="","",IFERROR(IF(Report!$D$4='!'!$HE$4,VLOOKUP(A136,Reference!$B$25:$H$390,6,FALSE),VLOOKUP(A136,Monitoring!$B$25:$H$390,6,FALSE)),""))</f>
        <v/>
      </c>
      <c r="N136" s="256"/>
      <c r="O136" s="299" t="str">
        <f>IF($O$12="","",IFERROR(IF(Report!$D$4='!'!$HE$4,VLOOKUP(A136,Reference!$B$25:$H$390,7,FALSE),VLOOKUP(A136,Monitoring!$B$25:$H$390,7,FALSE)),""))</f>
        <v/>
      </c>
      <c r="P136" s="51"/>
      <c r="Q136" s="151" t="str">
        <f>IF(B136='!'!$GJ$15,'!'!$GJ$15,$Q$12)</f>
        <v>N</v>
      </c>
      <c r="S136" s="4" t="str">
        <f>IFERROR(ABS(T136),'!'!$GJ$15)</f>
        <v>N</v>
      </c>
      <c r="T136" s="84" t="str">
        <f>IFERROR(+G136-D136,'!'!$GJ$15)</f>
        <v>N</v>
      </c>
      <c r="U136" s="64" t="str">
        <f t="shared" si="3"/>
        <v>N</v>
      </c>
      <c r="W136" s="153" t="str">
        <f>IFERROR(I$10*I136,'!'!$GJ$15)</f>
        <v>N</v>
      </c>
      <c r="X136" s="153" t="str">
        <f>IFERROR(K$10*K136,'!'!$GJ$15)</f>
        <v>N</v>
      </c>
      <c r="Y136" s="153" t="str">
        <f>IFERROR(M$10*M136,'!'!$GJ$15)</f>
        <v>N</v>
      </c>
      <c r="Z136" s="153" t="str">
        <f>IFERROR(O$10*O137,'!'!$GJ$15)</f>
        <v>N</v>
      </c>
    </row>
    <row r="137" spans="1:26" x14ac:dyDescent="0.35">
      <c r="A137" s="4">
        <f t="shared" si="2"/>
        <v>113</v>
      </c>
      <c r="B137" s="286" t="str">
        <f>IFERROR(IF(Report!$D$4='!'!$HE$4,VLOOKUP(A137,Reference!$B$25:$H$390,2,FALSE),VLOOKUP(A137,Monitoring!$B$25:$H$390,2,FALSE)),'!'!$GJ$15)</f>
        <v>N</v>
      </c>
      <c r="C137" s="58" t="str">
        <f>Reference!A137</f>
        <v/>
      </c>
      <c r="D137" s="287" t="str">
        <f>IFERROR(IF(Report!$D$4='!'!$HE$4,VLOOKUP(A137,Reference!$B$25:$H$390,3,FALSE),VLOOKUP(A137,Monitoring!$B$25:$H$390,3,FALSE)),'!'!$GJ$15)</f>
        <v>N</v>
      </c>
      <c r="E137" s="285"/>
      <c r="F137" s="254"/>
      <c r="G137" s="151" t="str">
        <f>IF(D137='!'!$GJ$15,'!'!$GJ$15,(SUM(W137,X137,Y137,Z136,Q137)))</f>
        <v>N</v>
      </c>
      <c r="H137" s="51"/>
      <c r="I137" s="299" t="str">
        <f>IF($I$12="","",IFERROR(IF(Report!$D$4='!'!$HE$4,VLOOKUP(A137,Reference!$B$25:$H$390,4,FALSE),VLOOKUP(A137,Monitoring!$B$25:$H$390,4,FALSE)),""))</f>
        <v/>
      </c>
      <c r="J137" s="256"/>
      <c r="K137" s="299" t="str">
        <f>IF($K$12="","",IFERROR(IF(Report!$D$4='!'!$HE$4,VLOOKUP(A137,Reference!$B$25:$H$390,5,FALSE),VLOOKUP(A137,Monitoring!$B$25:$H$390,5,FALSE)),""))</f>
        <v/>
      </c>
      <c r="L137" s="256"/>
      <c r="M137" s="299" t="str">
        <f>IF($M$12="","",IFERROR(IF(Report!$D$4='!'!$HE$4,VLOOKUP(A137,Reference!$B$25:$H$390,6,FALSE),VLOOKUP(A137,Monitoring!$B$25:$H$390,6,FALSE)),""))</f>
        <v/>
      </c>
      <c r="N137" s="256"/>
      <c r="O137" s="299" t="str">
        <f>IF($O$12="","",IFERROR(IF(Report!$D$4='!'!$HE$4,VLOOKUP(A137,Reference!$B$25:$H$390,7,FALSE),VLOOKUP(A137,Monitoring!$B$25:$H$390,7,FALSE)),""))</f>
        <v/>
      </c>
      <c r="P137" s="51"/>
      <c r="Q137" s="151" t="str">
        <f>IF(B137='!'!$GJ$15,'!'!$GJ$15,$Q$12)</f>
        <v>N</v>
      </c>
      <c r="S137" s="4" t="str">
        <f>IFERROR(ABS(T137),'!'!$GJ$15)</f>
        <v>N</v>
      </c>
      <c r="T137" s="84" t="str">
        <f>IFERROR(+G137-D137,'!'!$GJ$15)</f>
        <v>N</v>
      </c>
      <c r="U137" s="64" t="str">
        <f t="shared" si="3"/>
        <v>N</v>
      </c>
      <c r="W137" s="153" t="str">
        <f>IFERROR(I$10*I137,'!'!$GJ$15)</f>
        <v>N</v>
      </c>
      <c r="X137" s="153" t="str">
        <f>IFERROR(K$10*K137,'!'!$GJ$15)</f>
        <v>N</v>
      </c>
      <c r="Y137" s="153" t="str">
        <f>IFERROR(M$10*M137,'!'!$GJ$15)</f>
        <v>N</v>
      </c>
      <c r="Z137" s="153" t="str">
        <f>IFERROR(O$10*O138,'!'!$GJ$15)</f>
        <v>N</v>
      </c>
    </row>
    <row r="138" spans="1:26" x14ac:dyDescent="0.35">
      <c r="A138" s="4">
        <f t="shared" si="2"/>
        <v>114</v>
      </c>
      <c r="B138" s="286" t="str">
        <f>IFERROR(IF(Report!$D$4='!'!$HE$4,VLOOKUP(A138,Reference!$B$25:$H$390,2,FALSE),VLOOKUP(A138,Monitoring!$B$25:$H$390,2,FALSE)),'!'!$GJ$15)</f>
        <v>N</v>
      </c>
      <c r="C138" s="58" t="str">
        <f>Reference!A138</f>
        <v/>
      </c>
      <c r="D138" s="287" t="str">
        <f>IFERROR(IF(Report!$D$4='!'!$HE$4,VLOOKUP(A138,Reference!$B$25:$H$390,3,FALSE),VLOOKUP(A138,Monitoring!$B$25:$H$390,3,FALSE)),'!'!$GJ$15)</f>
        <v>N</v>
      </c>
      <c r="E138" s="285"/>
      <c r="F138" s="254"/>
      <c r="G138" s="151" t="str">
        <f>IF(D138='!'!$GJ$15,'!'!$GJ$15,(SUM(W138,X138,Y138,Z137,Q138)))</f>
        <v>N</v>
      </c>
      <c r="H138" s="51"/>
      <c r="I138" s="299" t="str">
        <f>IF($I$12="","",IFERROR(IF(Report!$D$4='!'!$HE$4,VLOOKUP(A138,Reference!$B$25:$H$390,4,FALSE),VLOOKUP(A138,Monitoring!$B$25:$H$390,4,FALSE)),""))</f>
        <v/>
      </c>
      <c r="J138" s="256"/>
      <c r="K138" s="299" t="str">
        <f>IF($K$12="","",IFERROR(IF(Report!$D$4='!'!$HE$4,VLOOKUP(A138,Reference!$B$25:$H$390,5,FALSE),VLOOKUP(A138,Monitoring!$B$25:$H$390,5,FALSE)),""))</f>
        <v/>
      </c>
      <c r="L138" s="256"/>
      <c r="M138" s="299" t="str">
        <f>IF($M$12="","",IFERROR(IF(Report!$D$4='!'!$HE$4,VLOOKUP(A138,Reference!$B$25:$H$390,6,FALSE),VLOOKUP(A138,Monitoring!$B$25:$H$390,6,FALSE)),""))</f>
        <v/>
      </c>
      <c r="N138" s="256"/>
      <c r="O138" s="299" t="str">
        <f>IF($O$12="","",IFERROR(IF(Report!$D$4='!'!$HE$4,VLOOKUP(A138,Reference!$B$25:$H$390,7,FALSE),VLOOKUP(A138,Monitoring!$B$25:$H$390,7,FALSE)),""))</f>
        <v/>
      </c>
      <c r="P138" s="51"/>
      <c r="Q138" s="151" t="str">
        <f>IF(B138='!'!$GJ$15,'!'!$GJ$15,$Q$12)</f>
        <v>N</v>
      </c>
      <c r="S138" s="4" t="str">
        <f>IFERROR(ABS(T138),'!'!$GJ$15)</f>
        <v>N</v>
      </c>
      <c r="T138" s="84" t="str">
        <f>IFERROR(+G138-D138,'!'!$GJ$15)</f>
        <v>N</v>
      </c>
      <c r="U138" s="64" t="str">
        <f t="shared" si="3"/>
        <v>N</v>
      </c>
      <c r="W138" s="153" t="str">
        <f>IFERROR(I$10*I138,'!'!$GJ$15)</f>
        <v>N</v>
      </c>
      <c r="X138" s="153" t="str">
        <f>IFERROR(K$10*K138,'!'!$GJ$15)</f>
        <v>N</v>
      </c>
      <c r="Y138" s="153" t="str">
        <f>IFERROR(M$10*M138,'!'!$GJ$15)</f>
        <v>N</v>
      </c>
      <c r="Z138" s="153" t="str">
        <f>IFERROR(O$10*O139,'!'!$GJ$15)</f>
        <v>N</v>
      </c>
    </row>
    <row r="139" spans="1:26" x14ac:dyDescent="0.35">
      <c r="A139" s="4">
        <f t="shared" si="2"/>
        <v>115</v>
      </c>
      <c r="B139" s="286" t="str">
        <f>IFERROR(IF(Report!$D$4='!'!$HE$4,VLOOKUP(A139,Reference!$B$25:$H$390,2,FALSE),VLOOKUP(A139,Monitoring!$B$25:$H$390,2,FALSE)),'!'!$GJ$15)</f>
        <v>N</v>
      </c>
      <c r="C139" s="58" t="str">
        <f>Reference!A139</f>
        <v/>
      </c>
      <c r="D139" s="287" t="str">
        <f>IFERROR(IF(Report!$D$4='!'!$HE$4,VLOOKUP(A139,Reference!$B$25:$H$390,3,FALSE),VLOOKUP(A139,Monitoring!$B$25:$H$390,3,FALSE)),'!'!$GJ$15)</f>
        <v>N</v>
      </c>
      <c r="E139" s="285"/>
      <c r="F139" s="254"/>
      <c r="G139" s="151" t="str">
        <f>IF(D139='!'!$GJ$15,'!'!$GJ$15,(SUM(W139,X139,Y139,Z138,Q139)))</f>
        <v>N</v>
      </c>
      <c r="H139" s="51"/>
      <c r="I139" s="299" t="str">
        <f>IF($I$12="","",IFERROR(IF(Report!$D$4='!'!$HE$4,VLOOKUP(A139,Reference!$B$25:$H$390,4,FALSE),VLOOKUP(A139,Monitoring!$B$25:$H$390,4,FALSE)),""))</f>
        <v/>
      </c>
      <c r="J139" s="256"/>
      <c r="K139" s="299" t="str">
        <f>IF($K$12="","",IFERROR(IF(Report!$D$4='!'!$HE$4,VLOOKUP(A139,Reference!$B$25:$H$390,5,FALSE),VLOOKUP(A139,Monitoring!$B$25:$H$390,5,FALSE)),""))</f>
        <v/>
      </c>
      <c r="L139" s="256"/>
      <c r="M139" s="299" t="str">
        <f>IF($M$12="","",IFERROR(IF(Report!$D$4='!'!$HE$4,VLOOKUP(A139,Reference!$B$25:$H$390,6,FALSE),VLOOKUP(A139,Monitoring!$B$25:$H$390,6,FALSE)),""))</f>
        <v/>
      </c>
      <c r="N139" s="256"/>
      <c r="O139" s="299" t="str">
        <f>IF($O$12="","",IFERROR(IF(Report!$D$4='!'!$HE$4,VLOOKUP(A139,Reference!$B$25:$H$390,7,FALSE),VLOOKUP(A139,Monitoring!$B$25:$H$390,7,FALSE)),""))</f>
        <v/>
      </c>
      <c r="P139" s="51"/>
      <c r="Q139" s="151" t="str">
        <f>IF(B139='!'!$GJ$15,'!'!$GJ$15,$Q$12)</f>
        <v>N</v>
      </c>
      <c r="S139" s="4" t="str">
        <f>IFERROR(ABS(T139),'!'!$GJ$15)</f>
        <v>N</v>
      </c>
      <c r="T139" s="84" t="str">
        <f>IFERROR(+G139-D139,'!'!$GJ$15)</f>
        <v>N</v>
      </c>
      <c r="U139" s="64" t="str">
        <f t="shared" si="3"/>
        <v>N</v>
      </c>
      <c r="W139" s="153" t="str">
        <f>IFERROR(I$10*I139,'!'!$GJ$15)</f>
        <v>N</v>
      </c>
      <c r="X139" s="153" t="str">
        <f>IFERROR(K$10*K139,'!'!$GJ$15)</f>
        <v>N</v>
      </c>
      <c r="Y139" s="153" t="str">
        <f>IFERROR(M$10*M139,'!'!$GJ$15)</f>
        <v>N</v>
      </c>
      <c r="Z139" s="153" t="str">
        <f>IFERROR(O$10*O140,'!'!$GJ$15)</f>
        <v>N</v>
      </c>
    </row>
    <row r="140" spans="1:26" x14ac:dyDescent="0.35">
      <c r="A140" s="4">
        <f t="shared" si="2"/>
        <v>116</v>
      </c>
      <c r="B140" s="286" t="str">
        <f>IFERROR(IF(Report!$D$4='!'!$HE$4,VLOOKUP(A140,Reference!$B$25:$H$390,2,FALSE),VLOOKUP(A140,Monitoring!$B$25:$H$390,2,FALSE)),'!'!$GJ$15)</f>
        <v>N</v>
      </c>
      <c r="C140" s="58" t="str">
        <f>Reference!A140</f>
        <v/>
      </c>
      <c r="D140" s="287" t="str">
        <f>IFERROR(IF(Report!$D$4='!'!$HE$4,VLOOKUP(A140,Reference!$B$25:$H$390,3,FALSE),VLOOKUP(A140,Monitoring!$B$25:$H$390,3,FALSE)),'!'!$GJ$15)</f>
        <v>N</v>
      </c>
      <c r="E140" s="285"/>
      <c r="F140" s="254"/>
      <c r="G140" s="151" t="str">
        <f>IF(D140='!'!$GJ$15,'!'!$GJ$15,(SUM(W140,X140,Y140,Z139,Q140)))</f>
        <v>N</v>
      </c>
      <c r="H140" s="51"/>
      <c r="I140" s="299" t="str">
        <f>IF($I$12="","",IFERROR(IF(Report!$D$4='!'!$HE$4,VLOOKUP(A140,Reference!$B$25:$H$390,4,FALSE),VLOOKUP(A140,Monitoring!$B$25:$H$390,4,FALSE)),""))</f>
        <v/>
      </c>
      <c r="J140" s="256"/>
      <c r="K140" s="299" t="str">
        <f>IF($K$12="","",IFERROR(IF(Report!$D$4='!'!$HE$4,VLOOKUP(A140,Reference!$B$25:$H$390,5,FALSE),VLOOKUP(A140,Monitoring!$B$25:$H$390,5,FALSE)),""))</f>
        <v/>
      </c>
      <c r="L140" s="256"/>
      <c r="M140" s="299" t="str">
        <f>IF($M$12="","",IFERROR(IF(Report!$D$4='!'!$HE$4,VLOOKUP(A140,Reference!$B$25:$H$390,6,FALSE),VLOOKUP(A140,Monitoring!$B$25:$H$390,6,FALSE)),""))</f>
        <v/>
      </c>
      <c r="N140" s="256"/>
      <c r="O140" s="299" t="str">
        <f>IF($O$12="","",IFERROR(IF(Report!$D$4='!'!$HE$4,VLOOKUP(A140,Reference!$B$25:$H$390,7,FALSE),VLOOKUP(A140,Monitoring!$B$25:$H$390,7,FALSE)),""))</f>
        <v/>
      </c>
      <c r="P140" s="51"/>
      <c r="Q140" s="151" t="str">
        <f>IF(B140='!'!$GJ$15,'!'!$GJ$15,$Q$12)</f>
        <v>N</v>
      </c>
      <c r="S140" s="4" t="str">
        <f>IFERROR(ABS(T140),'!'!$GJ$15)</f>
        <v>N</v>
      </c>
      <c r="T140" s="84" t="str">
        <f>IFERROR(+G140-D140,'!'!$GJ$15)</f>
        <v>N</v>
      </c>
      <c r="U140" s="64" t="str">
        <f t="shared" si="3"/>
        <v>N</v>
      </c>
      <c r="W140" s="153" t="str">
        <f>IFERROR(I$10*I140,'!'!$GJ$15)</f>
        <v>N</v>
      </c>
      <c r="X140" s="153" t="str">
        <f>IFERROR(K$10*K140,'!'!$GJ$15)</f>
        <v>N</v>
      </c>
      <c r="Y140" s="153" t="str">
        <f>IFERROR(M$10*M140,'!'!$GJ$15)</f>
        <v>N</v>
      </c>
      <c r="Z140" s="153" t="str">
        <f>IFERROR(O$10*O141,'!'!$GJ$15)</f>
        <v>N</v>
      </c>
    </row>
    <row r="141" spans="1:26" x14ac:dyDescent="0.35">
      <c r="A141" s="4">
        <f t="shared" si="2"/>
        <v>117</v>
      </c>
      <c r="B141" s="286" t="str">
        <f>IFERROR(IF(Report!$D$4='!'!$HE$4,VLOOKUP(A141,Reference!$B$25:$H$390,2,FALSE),VLOOKUP(A141,Monitoring!$B$25:$H$390,2,FALSE)),'!'!$GJ$15)</f>
        <v>N</v>
      </c>
      <c r="C141" s="58" t="str">
        <f>Reference!A141</f>
        <v/>
      </c>
      <c r="D141" s="287" t="str">
        <f>IFERROR(IF(Report!$D$4='!'!$HE$4,VLOOKUP(A141,Reference!$B$25:$H$390,3,FALSE),VLOOKUP(A141,Monitoring!$B$25:$H$390,3,FALSE)),'!'!$GJ$15)</f>
        <v>N</v>
      </c>
      <c r="E141" s="285"/>
      <c r="F141" s="254"/>
      <c r="G141" s="151" t="str">
        <f>IF(D141='!'!$GJ$15,'!'!$GJ$15,(SUM(W141,X141,Y141,Z140,Q141)))</f>
        <v>N</v>
      </c>
      <c r="H141" s="51"/>
      <c r="I141" s="299" t="str">
        <f>IF($I$12="","",IFERROR(IF(Report!$D$4='!'!$HE$4,VLOOKUP(A141,Reference!$B$25:$H$390,4,FALSE),VLOOKUP(A141,Monitoring!$B$25:$H$390,4,FALSE)),""))</f>
        <v/>
      </c>
      <c r="J141" s="256"/>
      <c r="K141" s="299" t="str">
        <f>IF($K$12="","",IFERROR(IF(Report!$D$4='!'!$HE$4,VLOOKUP(A141,Reference!$B$25:$H$390,5,FALSE),VLOOKUP(A141,Monitoring!$B$25:$H$390,5,FALSE)),""))</f>
        <v/>
      </c>
      <c r="L141" s="256"/>
      <c r="M141" s="299" t="str">
        <f>IF($M$12="","",IFERROR(IF(Report!$D$4='!'!$HE$4,VLOOKUP(A141,Reference!$B$25:$H$390,6,FALSE),VLOOKUP(A141,Monitoring!$B$25:$H$390,6,FALSE)),""))</f>
        <v/>
      </c>
      <c r="N141" s="256"/>
      <c r="O141" s="299" t="str">
        <f>IF($O$12="","",IFERROR(IF(Report!$D$4='!'!$HE$4,VLOOKUP(A141,Reference!$B$25:$H$390,7,FALSE),VLOOKUP(A141,Monitoring!$B$25:$H$390,7,FALSE)),""))</f>
        <v/>
      </c>
      <c r="P141" s="51"/>
      <c r="Q141" s="151" t="str">
        <f>IF(B141='!'!$GJ$15,'!'!$GJ$15,$Q$12)</f>
        <v>N</v>
      </c>
      <c r="S141" s="4" t="str">
        <f>IFERROR(ABS(T141),'!'!$GJ$15)</f>
        <v>N</v>
      </c>
      <c r="T141" s="84" t="str">
        <f>IFERROR(+G141-D141,'!'!$GJ$15)</f>
        <v>N</v>
      </c>
      <c r="U141" s="64" t="str">
        <f t="shared" si="3"/>
        <v>N</v>
      </c>
      <c r="W141" s="153" t="str">
        <f>IFERROR(I$10*I141,'!'!$GJ$15)</f>
        <v>N</v>
      </c>
      <c r="X141" s="153" t="str">
        <f>IFERROR(K$10*K141,'!'!$GJ$15)</f>
        <v>N</v>
      </c>
      <c r="Y141" s="153" t="str">
        <f>IFERROR(M$10*M141,'!'!$GJ$15)</f>
        <v>N</v>
      </c>
      <c r="Z141" s="153" t="str">
        <f>IFERROR(O$10*O142,'!'!$GJ$15)</f>
        <v>N</v>
      </c>
    </row>
    <row r="142" spans="1:26" x14ac:dyDescent="0.35">
      <c r="A142" s="4">
        <f t="shared" si="2"/>
        <v>118</v>
      </c>
      <c r="B142" s="286" t="str">
        <f>IFERROR(IF(Report!$D$4='!'!$HE$4,VLOOKUP(A142,Reference!$B$25:$H$390,2,FALSE),VLOOKUP(A142,Monitoring!$B$25:$H$390,2,FALSE)),'!'!$GJ$15)</f>
        <v>N</v>
      </c>
      <c r="C142" s="58" t="str">
        <f>Reference!A142</f>
        <v/>
      </c>
      <c r="D142" s="287" t="str">
        <f>IFERROR(IF(Report!$D$4='!'!$HE$4,VLOOKUP(A142,Reference!$B$25:$H$390,3,FALSE),VLOOKUP(A142,Monitoring!$B$25:$H$390,3,FALSE)),'!'!$GJ$15)</f>
        <v>N</v>
      </c>
      <c r="E142" s="285"/>
      <c r="F142" s="254"/>
      <c r="G142" s="151" t="str">
        <f>IF(D142='!'!$GJ$15,'!'!$GJ$15,(SUM(W142,X142,Y142,Z141,Q142)))</f>
        <v>N</v>
      </c>
      <c r="H142" s="51"/>
      <c r="I142" s="299" t="str">
        <f>IF($I$12="","",IFERROR(IF(Report!$D$4='!'!$HE$4,VLOOKUP(A142,Reference!$B$25:$H$390,4,FALSE),VLOOKUP(A142,Monitoring!$B$25:$H$390,4,FALSE)),""))</f>
        <v/>
      </c>
      <c r="J142" s="256"/>
      <c r="K142" s="299" t="str">
        <f>IF($K$12="","",IFERROR(IF(Report!$D$4='!'!$HE$4,VLOOKUP(A142,Reference!$B$25:$H$390,5,FALSE),VLOOKUP(A142,Monitoring!$B$25:$H$390,5,FALSE)),""))</f>
        <v/>
      </c>
      <c r="L142" s="256"/>
      <c r="M142" s="299" t="str">
        <f>IF($M$12="","",IFERROR(IF(Report!$D$4='!'!$HE$4,VLOOKUP(A142,Reference!$B$25:$H$390,6,FALSE),VLOOKUP(A142,Monitoring!$B$25:$H$390,6,FALSE)),""))</f>
        <v/>
      </c>
      <c r="N142" s="256"/>
      <c r="O142" s="299" t="str">
        <f>IF($O$12="","",IFERROR(IF(Report!$D$4='!'!$HE$4,VLOOKUP(A142,Reference!$B$25:$H$390,7,FALSE),VLOOKUP(A142,Monitoring!$B$25:$H$390,7,FALSE)),""))</f>
        <v/>
      </c>
      <c r="P142" s="51"/>
      <c r="Q142" s="151" t="str">
        <f>IF(B142='!'!$GJ$15,'!'!$GJ$15,$Q$12)</f>
        <v>N</v>
      </c>
      <c r="S142" s="4" t="str">
        <f>IFERROR(ABS(T142),'!'!$GJ$15)</f>
        <v>N</v>
      </c>
      <c r="T142" s="84" t="str">
        <f>IFERROR(+G142-D142,'!'!$GJ$15)</f>
        <v>N</v>
      </c>
      <c r="U142" s="64" t="str">
        <f t="shared" si="3"/>
        <v>N</v>
      </c>
      <c r="W142" s="153" t="str">
        <f>IFERROR(I$10*I142,'!'!$GJ$15)</f>
        <v>N</v>
      </c>
      <c r="X142" s="153" t="str">
        <f>IFERROR(K$10*K142,'!'!$GJ$15)</f>
        <v>N</v>
      </c>
      <c r="Y142" s="153" t="str">
        <f>IFERROR(M$10*M142,'!'!$GJ$15)</f>
        <v>N</v>
      </c>
      <c r="Z142" s="153" t="str">
        <f>IFERROR(O$10*O143,'!'!$GJ$15)</f>
        <v>N</v>
      </c>
    </row>
    <row r="143" spans="1:26" x14ac:dyDescent="0.35">
      <c r="A143" s="4">
        <f t="shared" si="2"/>
        <v>119</v>
      </c>
      <c r="B143" s="286" t="str">
        <f>IFERROR(IF(Report!$D$4='!'!$HE$4,VLOOKUP(A143,Reference!$B$25:$H$390,2,FALSE),VLOOKUP(A143,Monitoring!$B$25:$H$390,2,FALSE)),'!'!$GJ$15)</f>
        <v>N</v>
      </c>
      <c r="C143" s="58" t="str">
        <f>Reference!A143</f>
        <v/>
      </c>
      <c r="D143" s="287" t="str">
        <f>IFERROR(IF(Report!$D$4='!'!$HE$4,VLOOKUP(A143,Reference!$B$25:$H$390,3,FALSE),VLOOKUP(A143,Monitoring!$B$25:$H$390,3,FALSE)),'!'!$GJ$15)</f>
        <v>N</v>
      </c>
      <c r="E143" s="285"/>
      <c r="F143" s="254"/>
      <c r="G143" s="151" t="str">
        <f>IF(D143='!'!$GJ$15,'!'!$GJ$15,(SUM(W143,X143,Y143,Z142,Q143)))</f>
        <v>N</v>
      </c>
      <c r="H143" s="51"/>
      <c r="I143" s="299" t="str">
        <f>IF($I$12="","",IFERROR(IF(Report!$D$4='!'!$HE$4,VLOOKUP(A143,Reference!$B$25:$H$390,4,FALSE),VLOOKUP(A143,Monitoring!$B$25:$H$390,4,FALSE)),""))</f>
        <v/>
      </c>
      <c r="J143" s="256"/>
      <c r="K143" s="299" t="str">
        <f>IF($K$12="","",IFERROR(IF(Report!$D$4='!'!$HE$4,VLOOKUP(A143,Reference!$B$25:$H$390,5,FALSE),VLOOKUP(A143,Monitoring!$B$25:$H$390,5,FALSE)),""))</f>
        <v/>
      </c>
      <c r="L143" s="256"/>
      <c r="M143" s="299" t="str">
        <f>IF($M$12="","",IFERROR(IF(Report!$D$4='!'!$HE$4,VLOOKUP(A143,Reference!$B$25:$H$390,6,FALSE),VLOOKUP(A143,Monitoring!$B$25:$H$390,6,FALSE)),""))</f>
        <v/>
      </c>
      <c r="N143" s="256"/>
      <c r="O143" s="299" t="str">
        <f>IF($O$12="","",IFERROR(IF(Report!$D$4='!'!$HE$4,VLOOKUP(A143,Reference!$B$25:$H$390,7,FALSE),VLOOKUP(A143,Monitoring!$B$25:$H$390,7,FALSE)),""))</f>
        <v/>
      </c>
      <c r="P143" s="51"/>
      <c r="Q143" s="151" t="str">
        <f>IF(B143='!'!$GJ$15,'!'!$GJ$15,$Q$12)</f>
        <v>N</v>
      </c>
      <c r="S143" s="4" t="str">
        <f>IFERROR(ABS(T143),'!'!$GJ$15)</f>
        <v>N</v>
      </c>
      <c r="T143" s="84" t="str">
        <f>IFERROR(+G143-D143,'!'!$GJ$15)</f>
        <v>N</v>
      </c>
      <c r="U143" s="64" t="str">
        <f t="shared" si="3"/>
        <v>N</v>
      </c>
      <c r="W143" s="153" t="str">
        <f>IFERROR(I$10*I143,'!'!$GJ$15)</f>
        <v>N</v>
      </c>
      <c r="X143" s="153" t="str">
        <f>IFERROR(K$10*K143,'!'!$GJ$15)</f>
        <v>N</v>
      </c>
      <c r="Y143" s="153" t="str">
        <f>IFERROR(M$10*M143,'!'!$GJ$15)</f>
        <v>N</v>
      </c>
      <c r="Z143" s="153" t="str">
        <f>IFERROR(O$10*O144,'!'!$GJ$15)</f>
        <v>N</v>
      </c>
    </row>
    <row r="144" spans="1:26" x14ac:dyDescent="0.35">
      <c r="A144" s="4">
        <f t="shared" si="2"/>
        <v>120</v>
      </c>
      <c r="B144" s="286" t="str">
        <f>IFERROR(IF(Report!$D$4='!'!$HE$4,VLOOKUP(A144,Reference!$B$25:$H$390,2,FALSE),VLOOKUP(A144,Monitoring!$B$25:$H$390,2,FALSE)),'!'!$GJ$15)</f>
        <v>N</v>
      </c>
      <c r="C144" s="58" t="str">
        <f>Reference!A144</f>
        <v/>
      </c>
      <c r="D144" s="287" t="str">
        <f>IFERROR(IF(Report!$D$4='!'!$HE$4,VLOOKUP(A144,Reference!$B$25:$H$390,3,FALSE),VLOOKUP(A144,Monitoring!$B$25:$H$390,3,FALSE)),'!'!$GJ$15)</f>
        <v>N</v>
      </c>
      <c r="E144" s="285"/>
      <c r="F144" s="254"/>
      <c r="G144" s="151" t="str">
        <f>IF(D144='!'!$GJ$15,'!'!$GJ$15,(SUM(W144,X144,Y144,Z143,Q144)))</f>
        <v>N</v>
      </c>
      <c r="H144" s="51"/>
      <c r="I144" s="299" t="str">
        <f>IF($I$12="","",IFERROR(IF(Report!$D$4='!'!$HE$4,VLOOKUP(A144,Reference!$B$25:$H$390,4,FALSE),VLOOKUP(A144,Monitoring!$B$25:$H$390,4,FALSE)),""))</f>
        <v/>
      </c>
      <c r="J144" s="256"/>
      <c r="K144" s="299" t="str">
        <f>IF($K$12="","",IFERROR(IF(Report!$D$4='!'!$HE$4,VLOOKUP(A144,Reference!$B$25:$H$390,5,FALSE),VLOOKUP(A144,Monitoring!$B$25:$H$390,5,FALSE)),""))</f>
        <v/>
      </c>
      <c r="L144" s="256"/>
      <c r="M144" s="299" t="str">
        <f>IF($M$12="","",IFERROR(IF(Report!$D$4='!'!$HE$4,VLOOKUP(A144,Reference!$B$25:$H$390,6,FALSE),VLOOKUP(A144,Monitoring!$B$25:$H$390,6,FALSE)),""))</f>
        <v/>
      </c>
      <c r="N144" s="256"/>
      <c r="O144" s="299" t="str">
        <f>IF($O$12="","",IFERROR(IF(Report!$D$4='!'!$HE$4,VLOOKUP(A144,Reference!$B$25:$H$390,7,FALSE),VLOOKUP(A144,Monitoring!$B$25:$H$390,7,FALSE)),""))</f>
        <v/>
      </c>
      <c r="P144" s="51"/>
      <c r="Q144" s="151" t="str">
        <f>IF(B144='!'!$GJ$15,'!'!$GJ$15,$Q$12)</f>
        <v>N</v>
      </c>
      <c r="S144" s="4" t="str">
        <f>IFERROR(ABS(T144),'!'!$GJ$15)</f>
        <v>N</v>
      </c>
      <c r="T144" s="84" t="str">
        <f>IFERROR(+G144-D144,'!'!$GJ$15)</f>
        <v>N</v>
      </c>
      <c r="U144" s="64" t="str">
        <f t="shared" si="3"/>
        <v>N</v>
      </c>
      <c r="W144" s="153" t="str">
        <f>IFERROR(I$10*I144,'!'!$GJ$15)</f>
        <v>N</v>
      </c>
      <c r="X144" s="153" t="str">
        <f>IFERROR(K$10*K144,'!'!$GJ$15)</f>
        <v>N</v>
      </c>
      <c r="Y144" s="153" t="str">
        <f>IFERROR(M$10*M144,'!'!$GJ$15)</f>
        <v>N</v>
      </c>
      <c r="Z144" s="153" t="str">
        <f>IFERROR(O$10*O145,'!'!$GJ$15)</f>
        <v>N</v>
      </c>
    </row>
    <row r="145" spans="1:26" x14ac:dyDescent="0.35">
      <c r="A145" s="4">
        <f t="shared" si="2"/>
        <v>121</v>
      </c>
      <c r="B145" s="286" t="str">
        <f>IFERROR(IF(Report!$D$4='!'!$HE$4,VLOOKUP(A145,Reference!$B$25:$H$390,2,FALSE),VLOOKUP(A145,Monitoring!$B$25:$H$390,2,FALSE)),'!'!$GJ$15)</f>
        <v>N</v>
      </c>
      <c r="C145" s="58" t="str">
        <f>Reference!A145</f>
        <v/>
      </c>
      <c r="D145" s="287" t="str">
        <f>IFERROR(IF(Report!$D$4='!'!$HE$4,VLOOKUP(A145,Reference!$B$25:$H$390,3,FALSE),VLOOKUP(A145,Monitoring!$B$25:$H$390,3,FALSE)),'!'!$GJ$15)</f>
        <v>N</v>
      </c>
      <c r="E145" s="285"/>
      <c r="F145" s="254"/>
      <c r="G145" s="151" t="str">
        <f>IF(D145='!'!$GJ$15,'!'!$GJ$15,(SUM(W145,X145,Y145,Z144,Q145)))</f>
        <v>N</v>
      </c>
      <c r="H145" s="51"/>
      <c r="I145" s="299" t="str">
        <f>IF($I$12="","",IFERROR(IF(Report!$D$4='!'!$HE$4,VLOOKUP(A145,Reference!$B$25:$H$390,4,FALSE),VLOOKUP(A145,Monitoring!$B$25:$H$390,4,FALSE)),""))</f>
        <v/>
      </c>
      <c r="J145" s="256"/>
      <c r="K145" s="299" t="str">
        <f>IF($K$12="","",IFERROR(IF(Report!$D$4='!'!$HE$4,VLOOKUP(A145,Reference!$B$25:$H$390,5,FALSE),VLOOKUP(A145,Monitoring!$B$25:$H$390,5,FALSE)),""))</f>
        <v/>
      </c>
      <c r="L145" s="256"/>
      <c r="M145" s="299" t="str">
        <f>IF($M$12="","",IFERROR(IF(Report!$D$4='!'!$HE$4,VLOOKUP(A145,Reference!$B$25:$H$390,6,FALSE),VLOOKUP(A145,Monitoring!$B$25:$H$390,6,FALSE)),""))</f>
        <v/>
      </c>
      <c r="N145" s="256"/>
      <c r="O145" s="299" t="str">
        <f>IF($O$12="","",IFERROR(IF(Report!$D$4='!'!$HE$4,VLOOKUP(A145,Reference!$B$25:$H$390,7,FALSE),VLOOKUP(A145,Monitoring!$B$25:$H$390,7,FALSE)),""))</f>
        <v/>
      </c>
      <c r="P145" s="51"/>
      <c r="Q145" s="151" t="str">
        <f>IF(B145='!'!$GJ$15,'!'!$GJ$15,$Q$12)</f>
        <v>N</v>
      </c>
      <c r="S145" s="4" t="str">
        <f>IFERROR(ABS(T145),'!'!$GJ$15)</f>
        <v>N</v>
      </c>
      <c r="T145" s="84" t="str">
        <f>IFERROR(+G145-D145,'!'!$GJ$15)</f>
        <v>N</v>
      </c>
      <c r="U145" s="64" t="str">
        <f t="shared" si="3"/>
        <v>N</v>
      </c>
      <c r="W145" s="153" t="str">
        <f>IFERROR(I$10*I145,'!'!$GJ$15)</f>
        <v>N</v>
      </c>
      <c r="X145" s="153" t="str">
        <f>IFERROR(K$10*K145,'!'!$GJ$15)</f>
        <v>N</v>
      </c>
      <c r="Y145" s="153" t="str">
        <f>IFERROR(M$10*M145,'!'!$GJ$15)</f>
        <v>N</v>
      </c>
      <c r="Z145" s="153" t="str">
        <f>IFERROR(O$10*O146,'!'!$GJ$15)</f>
        <v>N</v>
      </c>
    </row>
    <row r="146" spans="1:26" x14ac:dyDescent="0.35">
      <c r="A146" s="4">
        <f t="shared" si="2"/>
        <v>122</v>
      </c>
      <c r="B146" s="286" t="str">
        <f>IFERROR(IF(Report!$D$4='!'!$HE$4,VLOOKUP(A146,Reference!$B$25:$H$390,2,FALSE),VLOOKUP(A146,Monitoring!$B$25:$H$390,2,FALSE)),'!'!$GJ$15)</f>
        <v>N</v>
      </c>
      <c r="C146" s="58" t="str">
        <f>Reference!A146</f>
        <v/>
      </c>
      <c r="D146" s="287" t="str">
        <f>IFERROR(IF(Report!$D$4='!'!$HE$4,VLOOKUP(A146,Reference!$B$25:$H$390,3,FALSE),VLOOKUP(A146,Monitoring!$B$25:$H$390,3,FALSE)),'!'!$GJ$15)</f>
        <v>N</v>
      </c>
      <c r="E146" s="285"/>
      <c r="F146" s="254"/>
      <c r="G146" s="151" t="str">
        <f>IF(D146='!'!$GJ$15,'!'!$GJ$15,(SUM(W146,X146,Y146,Z145,Q146)))</f>
        <v>N</v>
      </c>
      <c r="H146" s="51"/>
      <c r="I146" s="299" t="str">
        <f>IF($I$12="","",IFERROR(IF(Report!$D$4='!'!$HE$4,VLOOKUP(A146,Reference!$B$25:$H$390,4,FALSE),VLOOKUP(A146,Monitoring!$B$25:$H$390,4,FALSE)),""))</f>
        <v/>
      </c>
      <c r="J146" s="256"/>
      <c r="K146" s="299" t="str">
        <f>IF($K$12="","",IFERROR(IF(Report!$D$4='!'!$HE$4,VLOOKUP(A146,Reference!$B$25:$H$390,5,FALSE),VLOOKUP(A146,Monitoring!$B$25:$H$390,5,FALSE)),""))</f>
        <v/>
      </c>
      <c r="L146" s="256"/>
      <c r="M146" s="299" t="str">
        <f>IF($M$12="","",IFERROR(IF(Report!$D$4='!'!$HE$4,VLOOKUP(A146,Reference!$B$25:$H$390,6,FALSE),VLOOKUP(A146,Monitoring!$B$25:$H$390,6,FALSE)),""))</f>
        <v/>
      </c>
      <c r="N146" s="256"/>
      <c r="O146" s="299" t="str">
        <f>IF($O$12="","",IFERROR(IF(Report!$D$4='!'!$HE$4,VLOOKUP(A146,Reference!$B$25:$H$390,7,FALSE),VLOOKUP(A146,Monitoring!$B$25:$H$390,7,FALSE)),""))</f>
        <v/>
      </c>
      <c r="P146" s="51"/>
      <c r="Q146" s="151" t="str">
        <f>IF(B146='!'!$GJ$15,'!'!$GJ$15,$Q$12)</f>
        <v>N</v>
      </c>
      <c r="S146" s="4" t="str">
        <f>IFERROR(ABS(T146),'!'!$GJ$15)</f>
        <v>N</v>
      </c>
      <c r="T146" s="84" t="str">
        <f>IFERROR(+G146-D146,'!'!$GJ$15)</f>
        <v>N</v>
      </c>
      <c r="U146" s="64" t="str">
        <f t="shared" si="3"/>
        <v>N</v>
      </c>
      <c r="W146" s="153" t="str">
        <f>IFERROR(I$10*I146,'!'!$GJ$15)</f>
        <v>N</v>
      </c>
      <c r="X146" s="153" t="str">
        <f>IFERROR(K$10*K146,'!'!$GJ$15)</f>
        <v>N</v>
      </c>
      <c r="Y146" s="153" t="str">
        <f>IFERROR(M$10*M146,'!'!$GJ$15)</f>
        <v>N</v>
      </c>
      <c r="Z146" s="153" t="str">
        <f>IFERROR(O$10*O147,'!'!$GJ$15)</f>
        <v>N</v>
      </c>
    </row>
    <row r="147" spans="1:26" x14ac:dyDescent="0.35">
      <c r="A147" s="4">
        <f t="shared" si="2"/>
        <v>123</v>
      </c>
      <c r="B147" s="286" t="str">
        <f>IFERROR(IF(Report!$D$4='!'!$HE$4,VLOOKUP(A147,Reference!$B$25:$H$390,2,FALSE),VLOOKUP(A147,Monitoring!$B$25:$H$390,2,FALSE)),'!'!$GJ$15)</f>
        <v>N</v>
      </c>
      <c r="C147" s="58" t="str">
        <f>Reference!A147</f>
        <v/>
      </c>
      <c r="D147" s="287" t="str">
        <f>IFERROR(IF(Report!$D$4='!'!$HE$4,VLOOKUP(A147,Reference!$B$25:$H$390,3,FALSE),VLOOKUP(A147,Monitoring!$B$25:$H$390,3,FALSE)),'!'!$GJ$15)</f>
        <v>N</v>
      </c>
      <c r="E147" s="285"/>
      <c r="F147" s="254"/>
      <c r="G147" s="151" t="str">
        <f>IF(D147='!'!$GJ$15,'!'!$GJ$15,(SUM(W147,X147,Y147,Z146,Q147)))</f>
        <v>N</v>
      </c>
      <c r="H147" s="51"/>
      <c r="I147" s="299" t="str">
        <f>IF($I$12="","",IFERROR(IF(Report!$D$4='!'!$HE$4,VLOOKUP(A147,Reference!$B$25:$H$390,4,FALSE),VLOOKUP(A147,Monitoring!$B$25:$H$390,4,FALSE)),""))</f>
        <v/>
      </c>
      <c r="J147" s="256"/>
      <c r="K147" s="299" t="str">
        <f>IF($K$12="","",IFERROR(IF(Report!$D$4='!'!$HE$4,VLOOKUP(A147,Reference!$B$25:$H$390,5,FALSE),VLOOKUP(A147,Monitoring!$B$25:$H$390,5,FALSE)),""))</f>
        <v/>
      </c>
      <c r="L147" s="256"/>
      <c r="M147" s="299" t="str">
        <f>IF($M$12="","",IFERROR(IF(Report!$D$4='!'!$HE$4,VLOOKUP(A147,Reference!$B$25:$H$390,6,FALSE),VLOOKUP(A147,Monitoring!$B$25:$H$390,6,FALSE)),""))</f>
        <v/>
      </c>
      <c r="N147" s="256"/>
      <c r="O147" s="299" t="str">
        <f>IF($O$12="","",IFERROR(IF(Report!$D$4='!'!$HE$4,VLOOKUP(A147,Reference!$B$25:$H$390,7,FALSE),VLOOKUP(A147,Monitoring!$B$25:$H$390,7,FALSE)),""))</f>
        <v/>
      </c>
      <c r="P147" s="51"/>
      <c r="Q147" s="151" t="str">
        <f>IF(B147='!'!$GJ$15,'!'!$GJ$15,$Q$12)</f>
        <v>N</v>
      </c>
      <c r="S147" s="4" t="str">
        <f>IFERROR(ABS(T147),'!'!$GJ$15)</f>
        <v>N</v>
      </c>
      <c r="T147" s="84" t="str">
        <f>IFERROR(+G147-D147,'!'!$GJ$15)</f>
        <v>N</v>
      </c>
      <c r="U147" s="64" t="str">
        <f t="shared" si="3"/>
        <v>N</v>
      </c>
      <c r="W147" s="153" t="str">
        <f>IFERROR(I$10*I147,'!'!$GJ$15)</f>
        <v>N</v>
      </c>
      <c r="X147" s="153" t="str">
        <f>IFERROR(K$10*K147,'!'!$GJ$15)</f>
        <v>N</v>
      </c>
      <c r="Y147" s="153" t="str">
        <f>IFERROR(M$10*M147,'!'!$GJ$15)</f>
        <v>N</v>
      </c>
      <c r="Z147" s="153" t="str">
        <f>IFERROR(O$10*O148,'!'!$GJ$15)</f>
        <v>N</v>
      </c>
    </row>
    <row r="148" spans="1:26" x14ac:dyDescent="0.35">
      <c r="A148" s="4">
        <f t="shared" si="2"/>
        <v>124</v>
      </c>
      <c r="B148" s="286" t="str">
        <f>IFERROR(IF(Report!$D$4='!'!$HE$4,VLOOKUP(A148,Reference!$B$25:$H$390,2,FALSE),VLOOKUP(A148,Monitoring!$B$25:$H$390,2,FALSE)),'!'!$GJ$15)</f>
        <v>N</v>
      </c>
      <c r="C148" s="58" t="str">
        <f>Reference!A148</f>
        <v/>
      </c>
      <c r="D148" s="287" t="str">
        <f>IFERROR(IF(Report!$D$4='!'!$HE$4,VLOOKUP(A148,Reference!$B$25:$H$390,3,FALSE),VLOOKUP(A148,Monitoring!$B$25:$H$390,3,FALSE)),'!'!$GJ$15)</f>
        <v>N</v>
      </c>
      <c r="E148" s="285"/>
      <c r="F148" s="254"/>
      <c r="G148" s="151" t="str">
        <f>IF(D148='!'!$GJ$15,'!'!$GJ$15,(SUM(W148,X148,Y148,Z147,Q148)))</f>
        <v>N</v>
      </c>
      <c r="H148" s="51"/>
      <c r="I148" s="299" t="str">
        <f>IF($I$12="","",IFERROR(IF(Report!$D$4='!'!$HE$4,VLOOKUP(A148,Reference!$B$25:$H$390,4,FALSE),VLOOKUP(A148,Monitoring!$B$25:$H$390,4,FALSE)),""))</f>
        <v/>
      </c>
      <c r="J148" s="256"/>
      <c r="K148" s="299" t="str">
        <f>IF($K$12="","",IFERROR(IF(Report!$D$4='!'!$HE$4,VLOOKUP(A148,Reference!$B$25:$H$390,5,FALSE),VLOOKUP(A148,Monitoring!$B$25:$H$390,5,FALSE)),""))</f>
        <v/>
      </c>
      <c r="L148" s="256"/>
      <c r="M148" s="299" t="str">
        <f>IF($M$12="","",IFERROR(IF(Report!$D$4='!'!$HE$4,VLOOKUP(A148,Reference!$B$25:$H$390,6,FALSE),VLOOKUP(A148,Monitoring!$B$25:$H$390,6,FALSE)),""))</f>
        <v/>
      </c>
      <c r="N148" s="256"/>
      <c r="O148" s="299" t="str">
        <f>IF($O$12="","",IFERROR(IF(Report!$D$4='!'!$HE$4,VLOOKUP(A148,Reference!$B$25:$H$390,7,FALSE),VLOOKUP(A148,Monitoring!$B$25:$H$390,7,FALSE)),""))</f>
        <v/>
      </c>
      <c r="P148" s="51"/>
      <c r="Q148" s="151" t="str">
        <f>IF(B148='!'!$GJ$15,'!'!$GJ$15,$Q$12)</f>
        <v>N</v>
      </c>
      <c r="S148" s="4" t="str">
        <f>IFERROR(ABS(T148),'!'!$GJ$15)</f>
        <v>N</v>
      </c>
      <c r="T148" s="84" t="str">
        <f>IFERROR(+G148-D148,'!'!$GJ$15)</f>
        <v>N</v>
      </c>
      <c r="U148" s="64" t="str">
        <f t="shared" si="3"/>
        <v>N</v>
      </c>
      <c r="W148" s="153" t="str">
        <f>IFERROR(I$10*I148,'!'!$GJ$15)</f>
        <v>N</v>
      </c>
      <c r="X148" s="153" t="str">
        <f>IFERROR(K$10*K148,'!'!$GJ$15)</f>
        <v>N</v>
      </c>
      <c r="Y148" s="153" t="str">
        <f>IFERROR(M$10*M148,'!'!$GJ$15)</f>
        <v>N</v>
      </c>
      <c r="Z148" s="153" t="str">
        <f>IFERROR(O$10*O149,'!'!$GJ$15)</f>
        <v>N</v>
      </c>
    </row>
    <row r="149" spans="1:26" x14ac:dyDescent="0.35">
      <c r="A149" s="4">
        <f t="shared" si="2"/>
        <v>125</v>
      </c>
      <c r="B149" s="286" t="str">
        <f>IFERROR(IF(Report!$D$4='!'!$HE$4,VLOOKUP(A149,Reference!$B$25:$H$390,2,FALSE),VLOOKUP(A149,Monitoring!$B$25:$H$390,2,FALSE)),'!'!$GJ$15)</f>
        <v>N</v>
      </c>
      <c r="C149" s="58" t="str">
        <f>Reference!A149</f>
        <v/>
      </c>
      <c r="D149" s="287" t="str">
        <f>IFERROR(IF(Report!$D$4='!'!$HE$4,VLOOKUP(A149,Reference!$B$25:$H$390,3,FALSE),VLOOKUP(A149,Monitoring!$B$25:$H$390,3,FALSE)),'!'!$GJ$15)</f>
        <v>N</v>
      </c>
      <c r="E149" s="285"/>
      <c r="F149" s="254"/>
      <c r="G149" s="151" t="str">
        <f>IF(D149='!'!$GJ$15,'!'!$GJ$15,(SUM(W149,X149,Y149,Z148,Q149)))</f>
        <v>N</v>
      </c>
      <c r="H149" s="51"/>
      <c r="I149" s="299" t="str">
        <f>IF($I$12="","",IFERROR(IF(Report!$D$4='!'!$HE$4,VLOOKUP(A149,Reference!$B$25:$H$390,4,FALSE),VLOOKUP(A149,Monitoring!$B$25:$H$390,4,FALSE)),""))</f>
        <v/>
      </c>
      <c r="J149" s="256"/>
      <c r="K149" s="299" t="str">
        <f>IF($K$12="","",IFERROR(IF(Report!$D$4='!'!$HE$4,VLOOKUP(A149,Reference!$B$25:$H$390,5,FALSE),VLOOKUP(A149,Monitoring!$B$25:$H$390,5,FALSE)),""))</f>
        <v/>
      </c>
      <c r="L149" s="256"/>
      <c r="M149" s="299" t="str">
        <f>IF($M$12="","",IFERROR(IF(Report!$D$4='!'!$HE$4,VLOOKUP(A149,Reference!$B$25:$H$390,6,FALSE),VLOOKUP(A149,Monitoring!$B$25:$H$390,6,FALSE)),""))</f>
        <v/>
      </c>
      <c r="N149" s="256"/>
      <c r="O149" s="299" t="str">
        <f>IF($O$12="","",IFERROR(IF(Report!$D$4='!'!$HE$4,VLOOKUP(A149,Reference!$B$25:$H$390,7,FALSE),VLOOKUP(A149,Monitoring!$B$25:$H$390,7,FALSE)),""))</f>
        <v/>
      </c>
      <c r="P149" s="51"/>
      <c r="Q149" s="151" t="str">
        <f>IF(B149='!'!$GJ$15,'!'!$GJ$15,$Q$12)</f>
        <v>N</v>
      </c>
      <c r="S149" s="4" t="str">
        <f>IFERROR(ABS(T149),'!'!$GJ$15)</f>
        <v>N</v>
      </c>
      <c r="T149" s="84" t="str">
        <f>IFERROR(+G149-D149,'!'!$GJ$15)</f>
        <v>N</v>
      </c>
      <c r="U149" s="64" t="str">
        <f t="shared" si="3"/>
        <v>N</v>
      </c>
      <c r="W149" s="153" t="str">
        <f>IFERROR(I$10*I149,'!'!$GJ$15)</f>
        <v>N</v>
      </c>
      <c r="X149" s="153" t="str">
        <f>IFERROR(K$10*K149,'!'!$GJ$15)</f>
        <v>N</v>
      </c>
      <c r="Y149" s="153" t="str">
        <f>IFERROR(M$10*M149,'!'!$GJ$15)</f>
        <v>N</v>
      </c>
      <c r="Z149" s="153" t="str">
        <f>IFERROR(O$10*O150,'!'!$GJ$15)</f>
        <v>N</v>
      </c>
    </row>
    <row r="150" spans="1:26" x14ac:dyDescent="0.35">
      <c r="A150" s="4">
        <f t="shared" si="2"/>
        <v>126</v>
      </c>
      <c r="B150" s="286" t="str">
        <f>IFERROR(IF(Report!$D$4='!'!$HE$4,VLOOKUP(A150,Reference!$B$25:$H$390,2,FALSE),VLOOKUP(A150,Monitoring!$B$25:$H$390,2,FALSE)),'!'!$GJ$15)</f>
        <v>N</v>
      </c>
      <c r="C150" s="58" t="str">
        <f>Reference!A150</f>
        <v/>
      </c>
      <c r="D150" s="287" t="str">
        <f>IFERROR(IF(Report!$D$4='!'!$HE$4,VLOOKUP(A150,Reference!$B$25:$H$390,3,FALSE),VLOOKUP(A150,Monitoring!$B$25:$H$390,3,FALSE)),'!'!$GJ$15)</f>
        <v>N</v>
      </c>
      <c r="E150" s="285"/>
      <c r="F150" s="254"/>
      <c r="G150" s="151" t="str">
        <f>IF(D150='!'!$GJ$15,'!'!$GJ$15,(SUM(W150,X150,Y150,Z149,Q150)))</f>
        <v>N</v>
      </c>
      <c r="H150" s="51"/>
      <c r="I150" s="299" t="str">
        <f>IF($I$12="","",IFERROR(IF(Report!$D$4='!'!$HE$4,VLOOKUP(A150,Reference!$B$25:$H$390,4,FALSE),VLOOKUP(A150,Monitoring!$B$25:$H$390,4,FALSE)),""))</f>
        <v/>
      </c>
      <c r="J150" s="256"/>
      <c r="K150" s="299" t="str">
        <f>IF($K$12="","",IFERROR(IF(Report!$D$4='!'!$HE$4,VLOOKUP(A150,Reference!$B$25:$H$390,5,FALSE),VLOOKUP(A150,Monitoring!$B$25:$H$390,5,FALSE)),""))</f>
        <v/>
      </c>
      <c r="L150" s="256"/>
      <c r="M150" s="299" t="str">
        <f>IF($M$12="","",IFERROR(IF(Report!$D$4='!'!$HE$4,VLOOKUP(A150,Reference!$B$25:$H$390,6,FALSE),VLOOKUP(A150,Monitoring!$B$25:$H$390,6,FALSE)),""))</f>
        <v/>
      </c>
      <c r="N150" s="256"/>
      <c r="O150" s="299" t="str">
        <f>IF($O$12="","",IFERROR(IF(Report!$D$4='!'!$HE$4,VLOOKUP(A150,Reference!$B$25:$H$390,7,FALSE),VLOOKUP(A150,Monitoring!$B$25:$H$390,7,FALSE)),""))</f>
        <v/>
      </c>
      <c r="P150" s="51"/>
      <c r="Q150" s="151" t="str">
        <f>IF(B150='!'!$GJ$15,'!'!$GJ$15,$Q$12)</f>
        <v>N</v>
      </c>
      <c r="S150" s="4" t="str">
        <f>IFERROR(ABS(T150),'!'!$GJ$15)</f>
        <v>N</v>
      </c>
      <c r="T150" s="84" t="str">
        <f>IFERROR(+G150-D150,'!'!$GJ$15)</f>
        <v>N</v>
      </c>
      <c r="U150" s="64" t="str">
        <f t="shared" si="3"/>
        <v>N</v>
      </c>
      <c r="W150" s="153" t="str">
        <f>IFERROR(I$10*I150,'!'!$GJ$15)</f>
        <v>N</v>
      </c>
      <c r="X150" s="153" t="str">
        <f>IFERROR(K$10*K150,'!'!$GJ$15)</f>
        <v>N</v>
      </c>
      <c r="Y150" s="153" t="str">
        <f>IFERROR(M$10*M150,'!'!$GJ$15)</f>
        <v>N</v>
      </c>
      <c r="Z150" s="153" t="str">
        <f>IFERROR(O$10*O151,'!'!$GJ$15)</f>
        <v>N</v>
      </c>
    </row>
    <row r="151" spans="1:26" x14ac:dyDescent="0.35">
      <c r="A151" s="4">
        <f t="shared" si="2"/>
        <v>127</v>
      </c>
      <c r="B151" s="286" t="str">
        <f>IFERROR(IF(Report!$D$4='!'!$HE$4,VLOOKUP(A151,Reference!$B$25:$H$390,2,FALSE),VLOOKUP(A151,Monitoring!$B$25:$H$390,2,FALSE)),'!'!$GJ$15)</f>
        <v>N</v>
      </c>
      <c r="C151" s="58" t="str">
        <f>Reference!A151</f>
        <v/>
      </c>
      <c r="D151" s="287" t="str">
        <f>IFERROR(IF(Report!$D$4='!'!$HE$4,VLOOKUP(A151,Reference!$B$25:$H$390,3,FALSE),VLOOKUP(A151,Monitoring!$B$25:$H$390,3,FALSE)),'!'!$GJ$15)</f>
        <v>N</v>
      </c>
      <c r="E151" s="285"/>
      <c r="F151" s="254"/>
      <c r="G151" s="151" t="str">
        <f>IF(D151='!'!$GJ$15,'!'!$GJ$15,(SUM(W151,X151,Y151,Z150,Q151)))</f>
        <v>N</v>
      </c>
      <c r="H151" s="51"/>
      <c r="I151" s="299" t="str">
        <f>IF($I$12="","",IFERROR(IF(Report!$D$4='!'!$HE$4,VLOOKUP(A151,Reference!$B$25:$H$390,4,FALSE),VLOOKUP(A151,Monitoring!$B$25:$H$390,4,FALSE)),""))</f>
        <v/>
      </c>
      <c r="J151" s="256"/>
      <c r="K151" s="299" t="str">
        <f>IF($K$12="","",IFERROR(IF(Report!$D$4='!'!$HE$4,VLOOKUP(A151,Reference!$B$25:$H$390,5,FALSE),VLOOKUP(A151,Monitoring!$B$25:$H$390,5,FALSE)),""))</f>
        <v/>
      </c>
      <c r="L151" s="256"/>
      <c r="M151" s="299" t="str">
        <f>IF($M$12="","",IFERROR(IF(Report!$D$4='!'!$HE$4,VLOOKUP(A151,Reference!$B$25:$H$390,6,FALSE),VLOOKUP(A151,Monitoring!$B$25:$H$390,6,FALSE)),""))</f>
        <v/>
      </c>
      <c r="N151" s="256"/>
      <c r="O151" s="299" t="str">
        <f>IF($O$12="","",IFERROR(IF(Report!$D$4='!'!$HE$4,VLOOKUP(A151,Reference!$B$25:$H$390,7,FALSE),VLOOKUP(A151,Monitoring!$B$25:$H$390,7,FALSE)),""))</f>
        <v/>
      </c>
      <c r="P151" s="51"/>
      <c r="Q151" s="151" t="str">
        <f>IF(B151='!'!$GJ$15,'!'!$GJ$15,$Q$12)</f>
        <v>N</v>
      </c>
      <c r="S151" s="4" t="str">
        <f>IFERROR(ABS(T151),'!'!$GJ$15)</f>
        <v>N</v>
      </c>
      <c r="T151" s="84" t="str">
        <f>IFERROR(+G151-D151,'!'!$GJ$15)</f>
        <v>N</v>
      </c>
      <c r="U151" s="64" t="str">
        <f t="shared" si="3"/>
        <v>N</v>
      </c>
      <c r="W151" s="153" t="str">
        <f>IFERROR(I$10*I151,'!'!$GJ$15)</f>
        <v>N</v>
      </c>
      <c r="X151" s="153" t="str">
        <f>IFERROR(K$10*K151,'!'!$GJ$15)</f>
        <v>N</v>
      </c>
      <c r="Y151" s="153" t="str">
        <f>IFERROR(M$10*M151,'!'!$GJ$15)</f>
        <v>N</v>
      </c>
      <c r="Z151" s="153" t="str">
        <f>IFERROR(O$10*O152,'!'!$GJ$15)</f>
        <v>N</v>
      </c>
    </row>
    <row r="152" spans="1:26" x14ac:dyDescent="0.35">
      <c r="A152" s="4">
        <f t="shared" si="2"/>
        <v>128</v>
      </c>
      <c r="B152" s="286" t="str">
        <f>IFERROR(IF(Report!$D$4='!'!$HE$4,VLOOKUP(A152,Reference!$B$25:$H$390,2,FALSE),VLOOKUP(A152,Monitoring!$B$25:$H$390,2,FALSE)),'!'!$GJ$15)</f>
        <v>N</v>
      </c>
      <c r="C152" s="58" t="str">
        <f>Reference!A152</f>
        <v/>
      </c>
      <c r="D152" s="287" t="str">
        <f>IFERROR(IF(Report!$D$4='!'!$HE$4,VLOOKUP(A152,Reference!$B$25:$H$390,3,FALSE),VLOOKUP(A152,Monitoring!$B$25:$H$390,3,FALSE)),'!'!$GJ$15)</f>
        <v>N</v>
      </c>
      <c r="E152" s="285"/>
      <c r="F152" s="254"/>
      <c r="G152" s="151" t="str">
        <f>IF(D152='!'!$GJ$15,'!'!$GJ$15,(SUM(W152,X152,Y152,Z151,Q152)))</f>
        <v>N</v>
      </c>
      <c r="H152" s="51"/>
      <c r="I152" s="299" t="str">
        <f>IF($I$12="","",IFERROR(IF(Report!$D$4='!'!$HE$4,VLOOKUP(A152,Reference!$B$25:$H$390,4,FALSE),VLOOKUP(A152,Monitoring!$B$25:$H$390,4,FALSE)),""))</f>
        <v/>
      </c>
      <c r="J152" s="256"/>
      <c r="K152" s="299" t="str">
        <f>IF($K$12="","",IFERROR(IF(Report!$D$4='!'!$HE$4,VLOOKUP(A152,Reference!$B$25:$H$390,5,FALSE),VLOOKUP(A152,Monitoring!$B$25:$H$390,5,FALSE)),""))</f>
        <v/>
      </c>
      <c r="L152" s="256"/>
      <c r="M152" s="299" t="str">
        <f>IF($M$12="","",IFERROR(IF(Report!$D$4='!'!$HE$4,VLOOKUP(A152,Reference!$B$25:$H$390,6,FALSE),VLOOKUP(A152,Monitoring!$B$25:$H$390,6,FALSE)),""))</f>
        <v/>
      </c>
      <c r="N152" s="256"/>
      <c r="O152" s="299" t="str">
        <f>IF($O$12="","",IFERROR(IF(Report!$D$4='!'!$HE$4,VLOOKUP(A152,Reference!$B$25:$H$390,7,FALSE),VLOOKUP(A152,Monitoring!$B$25:$H$390,7,FALSE)),""))</f>
        <v/>
      </c>
      <c r="P152" s="51"/>
      <c r="Q152" s="151" t="str">
        <f>IF(B152='!'!$GJ$15,'!'!$GJ$15,$Q$12)</f>
        <v>N</v>
      </c>
      <c r="S152" s="4" t="str">
        <f>IFERROR(ABS(T152),'!'!$GJ$15)</f>
        <v>N</v>
      </c>
      <c r="T152" s="84" t="str">
        <f>IFERROR(+G152-D152,'!'!$GJ$15)</f>
        <v>N</v>
      </c>
      <c r="U152" s="64" t="str">
        <f t="shared" si="3"/>
        <v>N</v>
      </c>
      <c r="W152" s="153" t="str">
        <f>IFERROR(I$10*I152,'!'!$GJ$15)</f>
        <v>N</v>
      </c>
      <c r="X152" s="153" t="str">
        <f>IFERROR(K$10*K152,'!'!$GJ$15)</f>
        <v>N</v>
      </c>
      <c r="Y152" s="153" t="str">
        <f>IFERROR(M$10*M152,'!'!$GJ$15)</f>
        <v>N</v>
      </c>
      <c r="Z152" s="153" t="str">
        <f>IFERROR(O$10*O153,'!'!$GJ$15)</f>
        <v>N</v>
      </c>
    </row>
    <row r="153" spans="1:26" x14ac:dyDescent="0.35">
      <c r="A153" s="4">
        <f t="shared" si="2"/>
        <v>129</v>
      </c>
      <c r="B153" s="286" t="str">
        <f>IFERROR(IF(Report!$D$4='!'!$HE$4,VLOOKUP(A153,Reference!$B$25:$H$390,2,FALSE),VLOOKUP(A153,Monitoring!$B$25:$H$390,2,FALSE)),'!'!$GJ$15)</f>
        <v>N</v>
      </c>
      <c r="C153" s="58" t="str">
        <f>Reference!A153</f>
        <v/>
      </c>
      <c r="D153" s="287" t="str">
        <f>IFERROR(IF(Report!$D$4='!'!$HE$4,VLOOKUP(A153,Reference!$B$25:$H$390,3,FALSE),VLOOKUP(A153,Monitoring!$B$25:$H$390,3,FALSE)),'!'!$GJ$15)</f>
        <v>N</v>
      </c>
      <c r="E153" s="285"/>
      <c r="F153" s="254"/>
      <c r="G153" s="151" t="str">
        <f>IF(D153='!'!$GJ$15,'!'!$GJ$15,(SUM(W153,X153,Y153,Z152,Q153)))</f>
        <v>N</v>
      </c>
      <c r="H153" s="51"/>
      <c r="I153" s="299" t="str">
        <f>IF($I$12="","",IFERROR(IF(Report!$D$4='!'!$HE$4,VLOOKUP(A153,Reference!$B$25:$H$390,4,FALSE),VLOOKUP(A153,Monitoring!$B$25:$H$390,4,FALSE)),""))</f>
        <v/>
      </c>
      <c r="J153" s="256"/>
      <c r="K153" s="299" t="str">
        <f>IF($K$12="","",IFERROR(IF(Report!$D$4='!'!$HE$4,VLOOKUP(A153,Reference!$B$25:$H$390,5,FALSE),VLOOKUP(A153,Monitoring!$B$25:$H$390,5,FALSE)),""))</f>
        <v/>
      </c>
      <c r="L153" s="256"/>
      <c r="M153" s="299" t="str">
        <f>IF($M$12="","",IFERROR(IF(Report!$D$4='!'!$HE$4,VLOOKUP(A153,Reference!$B$25:$H$390,6,FALSE),VLOOKUP(A153,Monitoring!$B$25:$H$390,6,FALSE)),""))</f>
        <v/>
      </c>
      <c r="N153" s="256"/>
      <c r="O153" s="299" t="str">
        <f>IF($O$12="","",IFERROR(IF(Report!$D$4='!'!$HE$4,VLOOKUP(A153,Reference!$B$25:$H$390,7,FALSE),VLOOKUP(A153,Monitoring!$B$25:$H$390,7,FALSE)),""))</f>
        <v/>
      </c>
      <c r="P153" s="51"/>
      <c r="Q153" s="151" t="str">
        <f>IF(B153='!'!$GJ$15,'!'!$GJ$15,$Q$12)</f>
        <v>N</v>
      </c>
      <c r="S153" s="4" t="str">
        <f>IFERROR(ABS(T153),'!'!$GJ$15)</f>
        <v>N</v>
      </c>
      <c r="T153" s="84" t="str">
        <f>IFERROR(+G153-D153,'!'!$GJ$15)</f>
        <v>N</v>
      </c>
      <c r="U153" s="64" t="str">
        <f t="shared" si="3"/>
        <v>N</v>
      </c>
      <c r="W153" s="153" t="str">
        <f>IFERROR(I$10*I153,'!'!$GJ$15)</f>
        <v>N</v>
      </c>
      <c r="X153" s="153" t="str">
        <f>IFERROR(K$10*K153,'!'!$GJ$15)</f>
        <v>N</v>
      </c>
      <c r="Y153" s="153" t="str">
        <f>IFERROR(M$10*M153,'!'!$GJ$15)</f>
        <v>N</v>
      </c>
      <c r="Z153" s="153" t="str">
        <f>IFERROR(O$10*O154,'!'!$GJ$15)</f>
        <v>N</v>
      </c>
    </row>
    <row r="154" spans="1:26" x14ac:dyDescent="0.35">
      <c r="A154" s="4">
        <f t="shared" ref="A154:A217" si="4">A153+1</f>
        <v>130</v>
      </c>
      <c r="B154" s="286" t="str">
        <f>IFERROR(IF(Report!$D$4='!'!$HE$4,VLOOKUP(A154,Reference!$B$25:$H$390,2,FALSE),VLOOKUP(A154,Monitoring!$B$25:$H$390,2,FALSE)),'!'!$GJ$15)</f>
        <v>N</v>
      </c>
      <c r="C154" s="58" t="str">
        <f>Reference!A154</f>
        <v/>
      </c>
      <c r="D154" s="287" t="str">
        <f>IFERROR(IF(Report!$D$4='!'!$HE$4,VLOOKUP(A154,Reference!$B$25:$H$390,3,FALSE),VLOOKUP(A154,Monitoring!$B$25:$H$390,3,FALSE)),'!'!$GJ$15)</f>
        <v>N</v>
      </c>
      <c r="E154" s="285"/>
      <c r="F154" s="254"/>
      <c r="G154" s="151" t="str">
        <f>IF(D154='!'!$GJ$15,'!'!$GJ$15,(SUM(W154,X154,Y154,Z153,Q154)))</f>
        <v>N</v>
      </c>
      <c r="H154" s="51"/>
      <c r="I154" s="299" t="str">
        <f>IF($I$12="","",IFERROR(IF(Report!$D$4='!'!$HE$4,VLOOKUP(A154,Reference!$B$25:$H$390,4,FALSE),VLOOKUP(A154,Monitoring!$B$25:$H$390,4,FALSE)),""))</f>
        <v/>
      </c>
      <c r="J154" s="256"/>
      <c r="K154" s="299" t="str">
        <f>IF($K$12="","",IFERROR(IF(Report!$D$4='!'!$HE$4,VLOOKUP(A154,Reference!$B$25:$H$390,5,FALSE),VLOOKUP(A154,Monitoring!$B$25:$H$390,5,FALSE)),""))</f>
        <v/>
      </c>
      <c r="L154" s="256"/>
      <c r="M154" s="299" t="str">
        <f>IF($M$12="","",IFERROR(IF(Report!$D$4='!'!$HE$4,VLOOKUP(A154,Reference!$B$25:$H$390,6,FALSE),VLOOKUP(A154,Monitoring!$B$25:$H$390,6,FALSE)),""))</f>
        <v/>
      </c>
      <c r="N154" s="256"/>
      <c r="O154" s="299" t="str">
        <f>IF($O$12="","",IFERROR(IF(Report!$D$4='!'!$HE$4,VLOOKUP(A154,Reference!$B$25:$H$390,7,FALSE),VLOOKUP(A154,Monitoring!$B$25:$H$390,7,FALSE)),""))</f>
        <v/>
      </c>
      <c r="P154" s="51"/>
      <c r="Q154" s="151" t="str">
        <f>IF(B154='!'!$GJ$15,'!'!$GJ$15,$Q$12)</f>
        <v>N</v>
      </c>
      <c r="S154" s="4" t="str">
        <f>IFERROR(ABS(T154),'!'!$GJ$15)</f>
        <v>N</v>
      </c>
      <c r="T154" s="84" t="str">
        <f>IFERROR(+G154-D154,'!'!$GJ$15)</f>
        <v>N</v>
      </c>
      <c r="U154" s="64" t="str">
        <f t="shared" ref="U154:U217" si="5">B154</f>
        <v>N</v>
      </c>
      <c r="W154" s="153" t="str">
        <f>IFERROR(I$10*I154,'!'!$GJ$15)</f>
        <v>N</v>
      </c>
      <c r="X154" s="153" t="str">
        <f>IFERROR(K$10*K154,'!'!$GJ$15)</f>
        <v>N</v>
      </c>
      <c r="Y154" s="153" t="str">
        <f>IFERROR(M$10*M154,'!'!$GJ$15)</f>
        <v>N</v>
      </c>
      <c r="Z154" s="153" t="str">
        <f>IFERROR(O$10*O155,'!'!$GJ$15)</f>
        <v>N</v>
      </c>
    </row>
    <row r="155" spans="1:26" x14ac:dyDescent="0.35">
      <c r="A155" s="4">
        <f t="shared" si="4"/>
        <v>131</v>
      </c>
      <c r="B155" s="286" t="str">
        <f>IFERROR(IF(Report!$D$4='!'!$HE$4,VLOOKUP(A155,Reference!$B$25:$H$390,2,FALSE),VLOOKUP(A155,Monitoring!$B$25:$H$390,2,FALSE)),'!'!$GJ$15)</f>
        <v>N</v>
      </c>
      <c r="C155" s="58" t="str">
        <f>Reference!A155</f>
        <v/>
      </c>
      <c r="D155" s="287" t="str">
        <f>IFERROR(IF(Report!$D$4='!'!$HE$4,VLOOKUP(A155,Reference!$B$25:$H$390,3,FALSE),VLOOKUP(A155,Monitoring!$B$25:$H$390,3,FALSE)),'!'!$GJ$15)</f>
        <v>N</v>
      </c>
      <c r="E155" s="285"/>
      <c r="F155" s="254"/>
      <c r="G155" s="151" t="str">
        <f>IF(D155='!'!$GJ$15,'!'!$GJ$15,(SUM(W155,X155,Y155,Z154,Q155)))</f>
        <v>N</v>
      </c>
      <c r="H155" s="51"/>
      <c r="I155" s="299" t="str">
        <f>IF($I$12="","",IFERROR(IF(Report!$D$4='!'!$HE$4,VLOOKUP(A155,Reference!$B$25:$H$390,4,FALSE),VLOOKUP(A155,Monitoring!$B$25:$H$390,4,FALSE)),""))</f>
        <v/>
      </c>
      <c r="J155" s="256"/>
      <c r="K155" s="299" t="str">
        <f>IF($K$12="","",IFERROR(IF(Report!$D$4='!'!$HE$4,VLOOKUP(A155,Reference!$B$25:$H$390,5,FALSE),VLOOKUP(A155,Monitoring!$B$25:$H$390,5,FALSE)),""))</f>
        <v/>
      </c>
      <c r="L155" s="256"/>
      <c r="M155" s="299" t="str">
        <f>IF($M$12="","",IFERROR(IF(Report!$D$4='!'!$HE$4,VLOOKUP(A155,Reference!$B$25:$H$390,6,FALSE),VLOOKUP(A155,Monitoring!$B$25:$H$390,6,FALSE)),""))</f>
        <v/>
      </c>
      <c r="N155" s="256"/>
      <c r="O155" s="299" t="str">
        <f>IF($O$12="","",IFERROR(IF(Report!$D$4='!'!$HE$4,VLOOKUP(A155,Reference!$B$25:$H$390,7,FALSE),VLOOKUP(A155,Monitoring!$B$25:$H$390,7,FALSE)),""))</f>
        <v/>
      </c>
      <c r="P155" s="51"/>
      <c r="Q155" s="151" t="str">
        <f>IF(B155='!'!$GJ$15,'!'!$GJ$15,$Q$12)</f>
        <v>N</v>
      </c>
      <c r="S155" s="4" t="str">
        <f>IFERROR(ABS(T155),'!'!$GJ$15)</f>
        <v>N</v>
      </c>
      <c r="T155" s="84" t="str">
        <f>IFERROR(+G155-D155,'!'!$GJ$15)</f>
        <v>N</v>
      </c>
      <c r="U155" s="64" t="str">
        <f t="shared" si="5"/>
        <v>N</v>
      </c>
      <c r="W155" s="153" t="str">
        <f>IFERROR(I$10*I155,'!'!$GJ$15)</f>
        <v>N</v>
      </c>
      <c r="X155" s="153" t="str">
        <f>IFERROR(K$10*K155,'!'!$GJ$15)</f>
        <v>N</v>
      </c>
      <c r="Y155" s="153" t="str">
        <f>IFERROR(M$10*M155,'!'!$GJ$15)</f>
        <v>N</v>
      </c>
      <c r="Z155" s="153" t="str">
        <f>IFERROR(O$10*O156,'!'!$GJ$15)</f>
        <v>N</v>
      </c>
    </row>
    <row r="156" spans="1:26" x14ac:dyDescent="0.35">
      <c r="A156" s="4">
        <f t="shared" si="4"/>
        <v>132</v>
      </c>
      <c r="B156" s="286" t="str">
        <f>IFERROR(IF(Report!$D$4='!'!$HE$4,VLOOKUP(A156,Reference!$B$25:$H$390,2,FALSE),VLOOKUP(A156,Monitoring!$B$25:$H$390,2,FALSE)),'!'!$GJ$15)</f>
        <v>N</v>
      </c>
      <c r="C156" s="58" t="str">
        <f>Reference!A156</f>
        <v/>
      </c>
      <c r="D156" s="287" t="str">
        <f>IFERROR(IF(Report!$D$4='!'!$HE$4,VLOOKUP(A156,Reference!$B$25:$H$390,3,FALSE),VLOOKUP(A156,Monitoring!$B$25:$H$390,3,FALSE)),'!'!$GJ$15)</f>
        <v>N</v>
      </c>
      <c r="E156" s="285"/>
      <c r="F156" s="254"/>
      <c r="G156" s="151" t="str">
        <f>IF(D156='!'!$GJ$15,'!'!$GJ$15,(SUM(W156,X156,Y156,Z155,Q156)))</f>
        <v>N</v>
      </c>
      <c r="H156" s="51"/>
      <c r="I156" s="299" t="str">
        <f>IF($I$12="","",IFERROR(IF(Report!$D$4='!'!$HE$4,VLOOKUP(A156,Reference!$B$25:$H$390,4,FALSE),VLOOKUP(A156,Monitoring!$B$25:$H$390,4,FALSE)),""))</f>
        <v/>
      </c>
      <c r="J156" s="256"/>
      <c r="K156" s="299" t="str">
        <f>IF($K$12="","",IFERROR(IF(Report!$D$4='!'!$HE$4,VLOOKUP(A156,Reference!$B$25:$H$390,5,FALSE),VLOOKUP(A156,Monitoring!$B$25:$H$390,5,FALSE)),""))</f>
        <v/>
      </c>
      <c r="L156" s="256"/>
      <c r="M156" s="299" t="str">
        <f>IF($M$12="","",IFERROR(IF(Report!$D$4='!'!$HE$4,VLOOKUP(A156,Reference!$B$25:$H$390,6,FALSE),VLOOKUP(A156,Monitoring!$B$25:$H$390,6,FALSE)),""))</f>
        <v/>
      </c>
      <c r="N156" s="256"/>
      <c r="O156" s="299" t="str">
        <f>IF($O$12="","",IFERROR(IF(Report!$D$4='!'!$HE$4,VLOOKUP(A156,Reference!$B$25:$H$390,7,FALSE),VLOOKUP(A156,Monitoring!$B$25:$H$390,7,FALSE)),""))</f>
        <v/>
      </c>
      <c r="P156" s="51"/>
      <c r="Q156" s="151" t="str">
        <f>IF(B156='!'!$GJ$15,'!'!$GJ$15,$Q$12)</f>
        <v>N</v>
      </c>
      <c r="S156" s="4" t="str">
        <f>IFERROR(ABS(T156),'!'!$GJ$15)</f>
        <v>N</v>
      </c>
      <c r="T156" s="84" t="str">
        <f>IFERROR(+G156-D156,'!'!$GJ$15)</f>
        <v>N</v>
      </c>
      <c r="U156" s="64" t="str">
        <f t="shared" si="5"/>
        <v>N</v>
      </c>
      <c r="W156" s="153" t="str">
        <f>IFERROR(I$10*I156,'!'!$GJ$15)</f>
        <v>N</v>
      </c>
      <c r="X156" s="153" t="str">
        <f>IFERROR(K$10*K156,'!'!$GJ$15)</f>
        <v>N</v>
      </c>
      <c r="Y156" s="153" t="str">
        <f>IFERROR(M$10*M156,'!'!$GJ$15)</f>
        <v>N</v>
      </c>
      <c r="Z156" s="153" t="str">
        <f>IFERROR(O$10*O157,'!'!$GJ$15)</f>
        <v>N</v>
      </c>
    </row>
    <row r="157" spans="1:26" x14ac:dyDescent="0.35">
      <c r="A157" s="4">
        <f t="shared" si="4"/>
        <v>133</v>
      </c>
      <c r="B157" s="286" t="str">
        <f>IFERROR(IF(Report!$D$4='!'!$HE$4,VLOOKUP(A157,Reference!$B$25:$H$390,2,FALSE),VLOOKUP(A157,Monitoring!$B$25:$H$390,2,FALSE)),'!'!$GJ$15)</f>
        <v>N</v>
      </c>
      <c r="C157" s="58" t="str">
        <f>Reference!A157</f>
        <v/>
      </c>
      <c r="D157" s="287" t="str">
        <f>IFERROR(IF(Report!$D$4='!'!$HE$4,VLOOKUP(A157,Reference!$B$25:$H$390,3,FALSE),VLOOKUP(A157,Monitoring!$B$25:$H$390,3,FALSE)),'!'!$GJ$15)</f>
        <v>N</v>
      </c>
      <c r="E157" s="285"/>
      <c r="F157" s="254"/>
      <c r="G157" s="151" t="str">
        <f>IF(D157='!'!$GJ$15,'!'!$GJ$15,(SUM(W157,X157,Y157,Z156,Q157)))</f>
        <v>N</v>
      </c>
      <c r="H157" s="51"/>
      <c r="I157" s="299" t="str">
        <f>IF($I$12="","",IFERROR(IF(Report!$D$4='!'!$HE$4,VLOOKUP(A157,Reference!$B$25:$H$390,4,FALSE),VLOOKUP(A157,Monitoring!$B$25:$H$390,4,FALSE)),""))</f>
        <v/>
      </c>
      <c r="J157" s="256"/>
      <c r="K157" s="299" t="str">
        <f>IF($K$12="","",IFERROR(IF(Report!$D$4='!'!$HE$4,VLOOKUP(A157,Reference!$B$25:$H$390,5,FALSE),VLOOKUP(A157,Monitoring!$B$25:$H$390,5,FALSE)),""))</f>
        <v/>
      </c>
      <c r="L157" s="256"/>
      <c r="M157" s="299" t="str">
        <f>IF($M$12="","",IFERROR(IF(Report!$D$4='!'!$HE$4,VLOOKUP(A157,Reference!$B$25:$H$390,6,FALSE),VLOOKUP(A157,Monitoring!$B$25:$H$390,6,FALSE)),""))</f>
        <v/>
      </c>
      <c r="N157" s="256"/>
      <c r="O157" s="299" t="str">
        <f>IF($O$12="","",IFERROR(IF(Report!$D$4='!'!$HE$4,VLOOKUP(A157,Reference!$B$25:$H$390,7,FALSE),VLOOKUP(A157,Monitoring!$B$25:$H$390,7,FALSE)),""))</f>
        <v/>
      </c>
      <c r="P157" s="51"/>
      <c r="Q157" s="151" t="str">
        <f>IF(B157='!'!$GJ$15,'!'!$GJ$15,$Q$12)</f>
        <v>N</v>
      </c>
      <c r="S157" s="4" t="str">
        <f>IFERROR(ABS(T157),'!'!$GJ$15)</f>
        <v>N</v>
      </c>
      <c r="T157" s="84" t="str">
        <f>IFERROR(+G157-D157,'!'!$GJ$15)</f>
        <v>N</v>
      </c>
      <c r="U157" s="64" t="str">
        <f t="shared" si="5"/>
        <v>N</v>
      </c>
      <c r="W157" s="153" t="str">
        <f>IFERROR(I$10*I157,'!'!$GJ$15)</f>
        <v>N</v>
      </c>
      <c r="X157" s="153" t="str">
        <f>IFERROR(K$10*K157,'!'!$GJ$15)</f>
        <v>N</v>
      </c>
      <c r="Y157" s="153" t="str">
        <f>IFERROR(M$10*M157,'!'!$GJ$15)</f>
        <v>N</v>
      </c>
      <c r="Z157" s="153" t="str">
        <f>IFERROR(O$10*O158,'!'!$GJ$15)</f>
        <v>N</v>
      </c>
    </row>
    <row r="158" spans="1:26" x14ac:dyDescent="0.35">
      <c r="A158" s="4">
        <f t="shared" si="4"/>
        <v>134</v>
      </c>
      <c r="B158" s="286" t="str">
        <f>IFERROR(IF(Report!$D$4='!'!$HE$4,VLOOKUP(A158,Reference!$B$25:$H$390,2,FALSE),VLOOKUP(A158,Monitoring!$B$25:$H$390,2,FALSE)),'!'!$GJ$15)</f>
        <v>N</v>
      </c>
      <c r="C158" s="58" t="str">
        <f>Reference!A158</f>
        <v/>
      </c>
      <c r="D158" s="287" t="str">
        <f>IFERROR(IF(Report!$D$4='!'!$HE$4,VLOOKUP(A158,Reference!$B$25:$H$390,3,FALSE),VLOOKUP(A158,Monitoring!$B$25:$H$390,3,FALSE)),'!'!$GJ$15)</f>
        <v>N</v>
      </c>
      <c r="E158" s="285"/>
      <c r="F158" s="254"/>
      <c r="G158" s="151" t="str">
        <f>IF(D158='!'!$GJ$15,'!'!$GJ$15,(SUM(W158,X158,Y158,Z157,Q158)))</f>
        <v>N</v>
      </c>
      <c r="H158" s="51"/>
      <c r="I158" s="299" t="str">
        <f>IF($I$12="","",IFERROR(IF(Report!$D$4='!'!$HE$4,VLOOKUP(A158,Reference!$B$25:$H$390,4,FALSE),VLOOKUP(A158,Monitoring!$B$25:$H$390,4,FALSE)),""))</f>
        <v/>
      </c>
      <c r="J158" s="256"/>
      <c r="K158" s="299" t="str">
        <f>IF($K$12="","",IFERROR(IF(Report!$D$4='!'!$HE$4,VLOOKUP(A158,Reference!$B$25:$H$390,5,FALSE),VLOOKUP(A158,Monitoring!$B$25:$H$390,5,FALSE)),""))</f>
        <v/>
      </c>
      <c r="L158" s="256"/>
      <c r="M158" s="299" t="str">
        <f>IF($M$12="","",IFERROR(IF(Report!$D$4='!'!$HE$4,VLOOKUP(A158,Reference!$B$25:$H$390,6,FALSE),VLOOKUP(A158,Monitoring!$B$25:$H$390,6,FALSE)),""))</f>
        <v/>
      </c>
      <c r="N158" s="256"/>
      <c r="O158" s="299" t="str">
        <f>IF($O$12="","",IFERROR(IF(Report!$D$4='!'!$HE$4,VLOOKUP(A158,Reference!$B$25:$H$390,7,FALSE),VLOOKUP(A158,Monitoring!$B$25:$H$390,7,FALSE)),""))</f>
        <v/>
      </c>
      <c r="P158" s="51"/>
      <c r="Q158" s="151" t="str">
        <f>IF(B158='!'!$GJ$15,'!'!$GJ$15,$Q$12)</f>
        <v>N</v>
      </c>
      <c r="S158" s="4" t="str">
        <f>IFERROR(ABS(T158),'!'!$GJ$15)</f>
        <v>N</v>
      </c>
      <c r="T158" s="84" t="str">
        <f>IFERROR(+G158-D158,'!'!$GJ$15)</f>
        <v>N</v>
      </c>
      <c r="U158" s="64" t="str">
        <f t="shared" si="5"/>
        <v>N</v>
      </c>
      <c r="W158" s="153" t="str">
        <f>IFERROR(I$10*I158,'!'!$GJ$15)</f>
        <v>N</v>
      </c>
      <c r="X158" s="153" t="str">
        <f>IFERROR(K$10*K158,'!'!$GJ$15)</f>
        <v>N</v>
      </c>
      <c r="Y158" s="153" t="str">
        <f>IFERROR(M$10*M158,'!'!$GJ$15)</f>
        <v>N</v>
      </c>
      <c r="Z158" s="153" t="str">
        <f>IFERROR(O$10*O159,'!'!$GJ$15)</f>
        <v>N</v>
      </c>
    </row>
    <row r="159" spans="1:26" x14ac:dyDescent="0.35">
      <c r="A159" s="4">
        <f t="shared" si="4"/>
        <v>135</v>
      </c>
      <c r="B159" s="286" t="str">
        <f>IFERROR(IF(Report!$D$4='!'!$HE$4,VLOOKUP(A159,Reference!$B$25:$H$390,2,FALSE),VLOOKUP(A159,Monitoring!$B$25:$H$390,2,FALSE)),'!'!$GJ$15)</f>
        <v>N</v>
      </c>
      <c r="C159" s="58" t="str">
        <f>Reference!A159</f>
        <v/>
      </c>
      <c r="D159" s="287" t="str">
        <f>IFERROR(IF(Report!$D$4='!'!$HE$4,VLOOKUP(A159,Reference!$B$25:$H$390,3,FALSE),VLOOKUP(A159,Monitoring!$B$25:$H$390,3,FALSE)),'!'!$GJ$15)</f>
        <v>N</v>
      </c>
      <c r="E159" s="285"/>
      <c r="F159" s="254"/>
      <c r="G159" s="151" t="str">
        <f>IF(D159='!'!$GJ$15,'!'!$GJ$15,(SUM(W159,X159,Y159,Z158,Q159)))</f>
        <v>N</v>
      </c>
      <c r="H159" s="51"/>
      <c r="I159" s="299" t="str">
        <f>IF($I$12="","",IFERROR(IF(Report!$D$4='!'!$HE$4,VLOOKUP(A159,Reference!$B$25:$H$390,4,FALSE),VLOOKUP(A159,Monitoring!$B$25:$H$390,4,FALSE)),""))</f>
        <v/>
      </c>
      <c r="J159" s="256"/>
      <c r="K159" s="299" t="str">
        <f>IF($K$12="","",IFERROR(IF(Report!$D$4='!'!$HE$4,VLOOKUP(A159,Reference!$B$25:$H$390,5,FALSE),VLOOKUP(A159,Monitoring!$B$25:$H$390,5,FALSE)),""))</f>
        <v/>
      </c>
      <c r="L159" s="256"/>
      <c r="M159" s="299" t="str">
        <f>IF($M$12="","",IFERROR(IF(Report!$D$4='!'!$HE$4,VLOOKUP(A159,Reference!$B$25:$H$390,6,FALSE),VLOOKUP(A159,Monitoring!$B$25:$H$390,6,FALSE)),""))</f>
        <v/>
      </c>
      <c r="N159" s="256"/>
      <c r="O159" s="299" t="str">
        <f>IF($O$12="","",IFERROR(IF(Report!$D$4='!'!$HE$4,VLOOKUP(A159,Reference!$B$25:$H$390,7,FALSE),VLOOKUP(A159,Monitoring!$B$25:$H$390,7,FALSE)),""))</f>
        <v/>
      </c>
      <c r="P159" s="51"/>
      <c r="Q159" s="151" t="str">
        <f>IF(B159='!'!$GJ$15,'!'!$GJ$15,$Q$12)</f>
        <v>N</v>
      </c>
      <c r="S159" s="4" t="str">
        <f>IFERROR(ABS(T159),'!'!$GJ$15)</f>
        <v>N</v>
      </c>
      <c r="T159" s="84" t="str">
        <f>IFERROR(+G159-D159,'!'!$GJ$15)</f>
        <v>N</v>
      </c>
      <c r="U159" s="64" t="str">
        <f t="shared" si="5"/>
        <v>N</v>
      </c>
      <c r="W159" s="153" t="str">
        <f>IFERROR(I$10*I159,'!'!$GJ$15)</f>
        <v>N</v>
      </c>
      <c r="X159" s="153" t="str">
        <f>IFERROR(K$10*K159,'!'!$GJ$15)</f>
        <v>N</v>
      </c>
      <c r="Y159" s="153" t="str">
        <f>IFERROR(M$10*M159,'!'!$GJ$15)</f>
        <v>N</v>
      </c>
      <c r="Z159" s="153" t="str">
        <f>IFERROR(O$10*O160,'!'!$GJ$15)</f>
        <v>N</v>
      </c>
    </row>
    <row r="160" spans="1:26" x14ac:dyDescent="0.35">
      <c r="A160" s="4">
        <f t="shared" si="4"/>
        <v>136</v>
      </c>
      <c r="B160" s="286" t="str">
        <f>IFERROR(IF(Report!$D$4='!'!$HE$4,VLOOKUP(A160,Reference!$B$25:$H$390,2,FALSE),VLOOKUP(A160,Monitoring!$B$25:$H$390,2,FALSE)),'!'!$GJ$15)</f>
        <v>N</v>
      </c>
      <c r="C160" s="58" t="str">
        <f>Reference!A160</f>
        <v/>
      </c>
      <c r="D160" s="287" t="str">
        <f>IFERROR(IF(Report!$D$4='!'!$HE$4,VLOOKUP(A160,Reference!$B$25:$H$390,3,FALSE),VLOOKUP(A160,Monitoring!$B$25:$H$390,3,FALSE)),'!'!$GJ$15)</f>
        <v>N</v>
      </c>
      <c r="E160" s="285"/>
      <c r="F160" s="254"/>
      <c r="G160" s="151" t="str">
        <f>IF(D160='!'!$GJ$15,'!'!$GJ$15,(SUM(W160,X160,Y160,Z159,Q160)))</f>
        <v>N</v>
      </c>
      <c r="H160" s="51"/>
      <c r="I160" s="299" t="str">
        <f>IF($I$12="","",IFERROR(IF(Report!$D$4='!'!$HE$4,VLOOKUP(A160,Reference!$B$25:$H$390,4,FALSE),VLOOKUP(A160,Monitoring!$B$25:$H$390,4,FALSE)),""))</f>
        <v/>
      </c>
      <c r="J160" s="256"/>
      <c r="K160" s="299" t="str">
        <f>IF($K$12="","",IFERROR(IF(Report!$D$4='!'!$HE$4,VLOOKUP(A160,Reference!$B$25:$H$390,5,FALSE),VLOOKUP(A160,Monitoring!$B$25:$H$390,5,FALSE)),""))</f>
        <v/>
      </c>
      <c r="L160" s="256"/>
      <c r="M160" s="299" t="str">
        <f>IF($M$12="","",IFERROR(IF(Report!$D$4='!'!$HE$4,VLOOKUP(A160,Reference!$B$25:$H$390,6,FALSE),VLOOKUP(A160,Monitoring!$B$25:$H$390,6,FALSE)),""))</f>
        <v/>
      </c>
      <c r="N160" s="256"/>
      <c r="O160" s="299" t="str">
        <f>IF($O$12="","",IFERROR(IF(Report!$D$4='!'!$HE$4,VLOOKUP(A160,Reference!$B$25:$H$390,7,FALSE),VLOOKUP(A160,Monitoring!$B$25:$H$390,7,FALSE)),""))</f>
        <v/>
      </c>
      <c r="P160" s="51"/>
      <c r="Q160" s="151" t="str">
        <f>IF(B160='!'!$GJ$15,'!'!$GJ$15,$Q$12)</f>
        <v>N</v>
      </c>
      <c r="S160" s="4" t="str">
        <f>IFERROR(ABS(T160),'!'!$GJ$15)</f>
        <v>N</v>
      </c>
      <c r="T160" s="84" t="str">
        <f>IFERROR(+G160-D160,'!'!$GJ$15)</f>
        <v>N</v>
      </c>
      <c r="U160" s="64" t="str">
        <f t="shared" si="5"/>
        <v>N</v>
      </c>
      <c r="W160" s="153" t="str">
        <f>IFERROR(I$10*I160,'!'!$GJ$15)</f>
        <v>N</v>
      </c>
      <c r="X160" s="153" t="str">
        <f>IFERROR(K$10*K160,'!'!$GJ$15)</f>
        <v>N</v>
      </c>
      <c r="Y160" s="153" t="str">
        <f>IFERROR(M$10*M160,'!'!$GJ$15)</f>
        <v>N</v>
      </c>
      <c r="Z160" s="153" t="str">
        <f>IFERROR(O$10*O161,'!'!$GJ$15)</f>
        <v>N</v>
      </c>
    </row>
    <row r="161" spans="1:26" x14ac:dyDescent="0.35">
      <c r="A161" s="4">
        <f t="shared" si="4"/>
        <v>137</v>
      </c>
      <c r="B161" s="286" t="str">
        <f>IFERROR(IF(Report!$D$4='!'!$HE$4,VLOOKUP(A161,Reference!$B$25:$H$390,2,FALSE),VLOOKUP(A161,Monitoring!$B$25:$H$390,2,FALSE)),'!'!$GJ$15)</f>
        <v>N</v>
      </c>
      <c r="C161" s="58" t="str">
        <f>Reference!A161</f>
        <v/>
      </c>
      <c r="D161" s="287" t="str">
        <f>IFERROR(IF(Report!$D$4='!'!$HE$4,VLOOKUP(A161,Reference!$B$25:$H$390,3,FALSE),VLOOKUP(A161,Monitoring!$B$25:$H$390,3,FALSE)),'!'!$GJ$15)</f>
        <v>N</v>
      </c>
      <c r="E161" s="285"/>
      <c r="F161" s="254"/>
      <c r="G161" s="151" t="str">
        <f>IF(D161='!'!$GJ$15,'!'!$GJ$15,(SUM(W161,X161,Y161,Z160,Q161)))</f>
        <v>N</v>
      </c>
      <c r="H161" s="51"/>
      <c r="I161" s="299" t="str">
        <f>IF($I$12="","",IFERROR(IF(Report!$D$4='!'!$HE$4,VLOOKUP(A161,Reference!$B$25:$H$390,4,FALSE),VLOOKUP(A161,Monitoring!$B$25:$H$390,4,FALSE)),""))</f>
        <v/>
      </c>
      <c r="J161" s="256"/>
      <c r="K161" s="299" t="str">
        <f>IF($K$12="","",IFERROR(IF(Report!$D$4='!'!$HE$4,VLOOKUP(A161,Reference!$B$25:$H$390,5,FALSE),VLOOKUP(A161,Monitoring!$B$25:$H$390,5,FALSE)),""))</f>
        <v/>
      </c>
      <c r="L161" s="256"/>
      <c r="M161" s="299" t="str">
        <f>IF($M$12="","",IFERROR(IF(Report!$D$4='!'!$HE$4,VLOOKUP(A161,Reference!$B$25:$H$390,6,FALSE),VLOOKUP(A161,Monitoring!$B$25:$H$390,6,FALSE)),""))</f>
        <v/>
      </c>
      <c r="N161" s="256"/>
      <c r="O161" s="299" t="str">
        <f>IF($O$12="","",IFERROR(IF(Report!$D$4='!'!$HE$4,VLOOKUP(A161,Reference!$B$25:$H$390,7,FALSE),VLOOKUP(A161,Monitoring!$B$25:$H$390,7,FALSE)),""))</f>
        <v/>
      </c>
      <c r="P161" s="51"/>
      <c r="Q161" s="151" t="str">
        <f>IF(B161='!'!$GJ$15,'!'!$GJ$15,$Q$12)</f>
        <v>N</v>
      </c>
      <c r="S161" s="4" t="str">
        <f>IFERROR(ABS(T161),'!'!$GJ$15)</f>
        <v>N</v>
      </c>
      <c r="T161" s="84" t="str">
        <f>IFERROR(+G161-D161,'!'!$GJ$15)</f>
        <v>N</v>
      </c>
      <c r="U161" s="64" t="str">
        <f t="shared" si="5"/>
        <v>N</v>
      </c>
      <c r="W161" s="153" t="str">
        <f>IFERROR(I$10*I161,'!'!$GJ$15)</f>
        <v>N</v>
      </c>
      <c r="X161" s="153" t="str">
        <f>IFERROR(K$10*K161,'!'!$GJ$15)</f>
        <v>N</v>
      </c>
      <c r="Y161" s="153" t="str">
        <f>IFERROR(M$10*M161,'!'!$GJ$15)</f>
        <v>N</v>
      </c>
      <c r="Z161" s="153" t="str">
        <f>IFERROR(O$10*O162,'!'!$GJ$15)</f>
        <v>N</v>
      </c>
    </row>
    <row r="162" spans="1:26" x14ac:dyDescent="0.35">
      <c r="A162" s="4">
        <f t="shared" si="4"/>
        <v>138</v>
      </c>
      <c r="B162" s="286" t="str">
        <f>IFERROR(IF(Report!$D$4='!'!$HE$4,VLOOKUP(A162,Reference!$B$25:$H$390,2,FALSE),VLOOKUP(A162,Monitoring!$B$25:$H$390,2,FALSE)),'!'!$GJ$15)</f>
        <v>N</v>
      </c>
      <c r="C162" s="58" t="str">
        <f>Reference!A162</f>
        <v/>
      </c>
      <c r="D162" s="287" t="str">
        <f>IFERROR(IF(Report!$D$4='!'!$HE$4,VLOOKUP(A162,Reference!$B$25:$H$390,3,FALSE),VLOOKUP(A162,Monitoring!$B$25:$H$390,3,FALSE)),'!'!$GJ$15)</f>
        <v>N</v>
      </c>
      <c r="E162" s="285"/>
      <c r="F162" s="254"/>
      <c r="G162" s="151" t="str">
        <f>IF(D162='!'!$GJ$15,'!'!$GJ$15,(SUM(W162,X162,Y162,Z161,Q162)))</f>
        <v>N</v>
      </c>
      <c r="H162" s="51"/>
      <c r="I162" s="299" t="str">
        <f>IF($I$12="","",IFERROR(IF(Report!$D$4='!'!$HE$4,VLOOKUP(A162,Reference!$B$25:$H$390,4,FALSE),VLOOKUP(A162,Monitoring!$B$25:$H$390,4,FALSE)),""))</f>
        <v/>
      </c>
      <c r="J162" s="256"/>
      <c r="K162" s="299" t="str">
        <f>IF($K$12="","",IFERROR(IF(Report!$D$4='!'!$HE$4,VLOOKUP(A162,Reference!$B$25:$H$390,5,FALSE),VLOOKUP(A162,Monitoring!$B$25:$H$390,5,FALSE)),""))</f>
        <v/>
      </c>
      <c r="L162" s="256"/>
      <c r="M162" s="299" t="str">
        <f>IF($M$12="","",IFERROR(IF(Report!$D$4='!'!$HE$4,VLOOKUP(A162,Reference!$B$25:$H$390,6,FALSE),VLOOKUP(A162,Monitoring!$B$25:$H$390,6,FALSE)),""))</f>
        <v/>
      </c>
      <c r="N162" s="256"/>
      <c r="O162" s="299" t="str">
        <f>IF($O$12="","",IFERROR(IF(Report!$D$4='!'!$HE$4,VLOOKUP(A162,Reference!$B$25:$H$390,7,FALSE),VLOOKUP(A162,Monitoring!$B$25:$H$390,7,FALSE)),""))</f>
        <v/>
      </c>
      <c r="P162" s="51"/>
      <c r="Q162" s="151" t="str">
        <f>IF(B162='!'!$GJ$15,'!'!$GJ$15,$Q$12)</f>
        <v>N</v>
      </c>
      <c r="S162" s="4" t="str">
        <f>IFERROR(ABS(T162),'!'!$GJ$15)</f>
        <v>N</v>
      </c>
      <c r="T162" s="84" t="str">
        <f>IFERROR(+G162-D162,'!'!$GJ$15)</f>
        <v>N</v>
      </c>
      <c r="U162" s="64" t="str">
        <f t="shared" si="5"/>
        <v>N</v>
      </c>
      <c r="W162" s="153" t="str">
        <f>IFERROR(I$10*I162,'!'!$GJ$15)</f>
        <v>N</v>
      </c>
      <c r="X162" s="153" t="str">
        <f>IFERROR(K$10*K162,'!'!$GJ$15)</f>
        <v>N</v>
      </c>
      <c r="Y162" s="153" t="str">
        <f>IFERROR(M$10*M162,'!'!$GJ$15)</f>
        <v>N</v>
      </c>
      <c r="Z162" s="153" t="str">
        <f>IFERROR(O$10*O163,'!'!$GJ$15)</f>
        <v>N</v>
      </c>
    </row>
    <row r="163" spans="1:26" x14ac:dyDescent="0.35">
      <c r="A163" s="4">
        <f t="shared" si="4"/>
        <v>139</v>
      </c>
      <c r="B163" s="286" t="str">
        <f>IFERROR(IF(Report!$D$4='!'!$HE$4,VLOOKUP(A163,Reference!$B$25:$H$390,2,FALSE),VLOOKUP(A163,Monitoring!$B$25:$H$390,2,FALSE)),'!'!$GJ$15)</f>
        <v>N</v>
      </c>
      <c r="C163" s="58" t="str">
        <f>Reference!A163</f>
        <v/>
      </c>
      <c r="D163" s="287" t="str">
        <f>IFERROR(IF(Report!$D$4='!'!$HE$4,VLOOKUP(A163,Reference!$B$25:$H$390,3,FALSE),VLOOKUP(A163,Monitoring!$B$25:$H$390,3,FALSE)),'!'!$GJ$15)</f>
        <v>N</v>
      </c>
      <c r="E163" s="285"/>
      <c r="F163" s="254"/>
      <c r="G163" s="151" t="str">
        <f>IF(D163='!'!$GJ$15,'!'!$GJ$15,(SUM(W163,X163,Y163,Z162,Q163)))</f>
        <v>N</v>
      </c>
      <c r="H163" s="51"/>
      <c r="I163" s="299" t="str">
        <f>IF($I$12="","",IFERROR(IF(Report!$D$4='!'!$HE$4,VLOOKUP(A163,Reference!$B$25:$H$390,4,FALSE),VLOOKUP(A163,Monitoring!$B$25:$H$390,4,FALSE)),""))</f>
        <v/>
      </c>
      <c r="J163" s="256"/>
      <c r="K163" s="299" t="str">
        <f>IF($K$12="","",IFERROR(IF(Report!$D$4='!'!$HE$4,VLOOKUP(A163,Reference!$B$25:$H$390,5,FALSE),VLOOKUP(A163,Monitoring!$B$25:$H$390,5,FALSE)),""))</f>
        <v/>
      </c>
      <c r="L163" s="256"/>
      <c r="M163" s="299" t="str">
        <f>IF($M$12="","",IFERROR(IF(Report!$D$4='!'!$HE$4,VLOOKUP(A163,Reference!$B$25:$H$390,6,FALSE),VLOOKUP(A163,Monitoring!$B$25:$H$390,6,FALSE)),""))</f>
        <v/>
      </c>
      <c r="N163" s="256"/>
      <c r="O163" s="299" t="str">
        <f>IF($O$12="","",IFERROR(IF(Report!$D$4='!'!$HE$4,VLOOKUP(A163,Reference!$B$25:$H$390,7,FALSE),VLOOKUP(A163,Monitoring!$B$25:$H$390,7,FALSE)),""))</f>
        <v/>
      </c>
      <c r="P163" s="51"/>
      <c r="Q163" s="151" t="str">
        <f>IF(B163='!'!$GJ$15,'!'!$GJ$15,$Q$12)</f>
        <v>N</v>
      </c>
      <c r="S163" s="4" t="str">
        <f>IFERROR(ABS(T163),'!'!$GJ$15)</f>
        <v>N</v>
      </c>
      <c r="T163" s="84" t="str">
        <f>IFERROR(+G163-D163,'!'!$GJ$15)</f>
        <v>N</v>
      </c>
      <c r="U163" s="64" t="str">
        <f t="shared" si="5"/>
        <v>N</v>
      </c>
      <c r="W163" s="153" t="str">
        <f>IFERROR(I$10*I163,'!'!$GJ$15)</f>
        <v>N</v>
      </c>
      <c r="X163" s="153" t="str">
        <f>IFERROR(K$10*K163,'!'!$GJ$15)</f>
        <v>N</v>
      </c>
      <c r="Y163" s="153" t="str">
        <f>IFERROR(M$10*M163,'!'!$GJ$15)</f>
        <v>N</v>
      </c>
      <c r="Z163" s="153" t="str">
        <f>IFERROR(O$10*O164,'!'!$GJ$15)</f>
        <v>N</v>
      </c>
    </row>
    <row r="164" spans="1:26" x14ac:dyDescent="0.35">
      <c r="A164" s="4">
        <f t="shared" si="4"/>
        <v>140</v>
      </c>
      <c r="B164" s="286" t="str">
        <f>IFERROR(IF(Report!$D$4='!'!$HE$4,VLOOKUP(A164,Reference!$B$25:$H$390,2,FALSE),VLOOKUP(A164,Monitoring!$B$25:$H$390,2,FALSE)),'!'!$GJ$15)</f>
        <v>N</v>
      </c>
      <c r="C164" s="58" t="str">
        <f>Reference!A164</f>
        <v/>
      </c>
      <c r="D164" s="287" t="str">
        <f>IFERROR(IF(Report!$D$4='!'!$HE$4,VLOOKUP(A164,Reference!$B$25:$H$390,3,FALSE),VLOOKUP(A164,Monitoring!$B$25:$H$390,3,FALSE)),'!'!$GJ$15)</f>
        <v>N</v>
      </c>
      <c r="E164" s="285"/>
      <c r="F164" s="254"/>
      <c r="G164" s="151" t="str">
        <f>IF(D164='!'!$GJ$15,'!'!$GJ$15,(SUM(W164,X164,Y164,Z163,Q164)))</f>
        <v>N</v>
      </c>
      <c r="H164" s="51"/>
      <c r="I164" s="299" t="str">
        <f>IF($I$12="","",IFERROR(IF(Report!$D$4='!'!$HE$4,VLOOKUP(A164,Reference!$B$25:$H$390,4,FALSE),VLOOKUP(A164,Monitoring!$B$25:$H$390,4,FALSE)),""))</f>
        <v/>
      </c>
      <c r="J164" s="256"/>
      <c r="K164" s="299" t="str">
        <f>IF($K$12="","",IFERROR(IF(Report!$D$4='!'!$HE$4,VLOOKUP(A164,Reference!$B$25:$H$390,5,FALSE),VLOOKUP(A164,Monitoring!$B$25:$H$390,5,FALSE)),""))</f>
        <v/>
      </c>
      <c r="L164" s="256"/>
      <c r="M164" s="299" t="str">
        <f>IF($M$12="","",IFERROR(IF(Report!$D$4='!'!$HE$4,VLOOKUP(A164,Reference!$B$25:$H$390,6,FALSE),VLOOKUP(A164,Monitoring!$B$25:$H$390,6,FALSE)),""))</f>
        <v/>
      </c>
      <c r="N164" s="256"/>
      <c r="O164" s="299" t="str">
        <f>IF($O$12="","",IFERROR(IF(Report!$D$4='!'!$HE$4,VLOOKUP(A164,Reference!$B$25:$H$390,7,FALSE),VLOOKUP(A164,Monitoring!$B$25:$H$390,7,FALSE)),""))</f>
        <v/>
      </c>
      <c r="P164" s="51"/>
      <c r="Q164" s="151" t="str">
        <f>IF(B164='!'!$GJ$15,'!'!$GJ$15,$Q$12)</f>
        <v>N</v>
      </c>
      <c r="S164" s="4" t="str">
        <f>IFERROR(ABS(T164),'!'!$GJ$15)</f>
        <v>N</v>
      </c>
      <c r="T164" s="84" t="str">
        <f>IFERROR(+G164-D164,'!'!$GJ$15)</f>
        <v>N</v>
      </c>
      <c r="U164" s="64" t="str">
        <f t="shared" si="5"/>
        <v>N</v>
      </c>
      <c r="W164" s="153" t="str">
        <f>IFERROR(I$10*I164,'!'!$GJ$15)</f>
        <v>N</v>
      </c>
      <c r="X164" s="153" t="str">
        <f>IFERROR(K$10*K164,'!'!$GJ$15)</f>
        <v>N</v>
      </c>
      <c r="Y164" s="153" t="str">
        <f>IFERROR(M$10*M164,'!'!$GJ$15)</f>
        <v>N</v>
      </c>
      <c r="Z164" s="153" t="str">
        <f>IFERROR(O$10*O165,'!'!$GJ$15)</f>
        <v>N</v>
      </c>
    </row>
    <row r="165" spans="1:26" x14ac:dyDescent="0.35">
      <c r="A165" s="4">
        <f t="shared" si="4"/>
        <v>141</v>
      </c>
      <c r="B165" s="286" t="str">
        <f>IFERROR(IF(Report!$D$4='!'!$HE$4,VLOOKUP(A165,Reference!$B$25:$H$390,2,FALSE),VLOOKUP(A165,Monitoring!$B$25:$H$390,2,FALSE)),'!'!$GJ$15)</f>
        <v>N</v>
      </c>
      <c r="C165" s="58" t="str">
        <f>Reference!A165</f>
        <v/>
      </c>
      <c r="D165" s="287" t="str">
        <f>IFERROR(IF(Report!$D$4='!'!$HE$4,VLOOKUP(A165,Reference!$B$25:$H$390,3,FALSE),VLOOKUP(A165,Monitoring!$B$25:$H$390,3,FALSE)),'!'!$GJ$15)</f>
        <v>N</v>
      </c>
      <c r="E165" s="285"/>
      <c r="F165" s="254"/>
      <c r="G165" s="151" t="str">
        <f>IF(D165='!'!$GJ$15,'!'!$GJ$15,(SUM(W165,X165,Y165,Z164,Q165)))</f>
        <v>N</v>
      </c>
      <c r="H165" s="51"/>
      <c r="I165" s="299" t="str">
        <f>IF($I$12="","",IFERROR(IF(Report!$D$4='!'!$HE$4,VLOOKUP(A165,Reference!$B$25:$H$390,4,FALSE),VLOOKUP(A165,Monitoring!$B$25:$H$390,4,FALSE)),""))</f>
        <v/>
      </c>
      <c r="J165" s="256"/>
      <c r="K165" s="299" t="str">
        <f>IF($K$12="","",IFERROR(IF(Report!$D$4='!'!$HE$4,VLOOKUP(A165,Reference!$B$25:$H$390,5,FALSE),VLOOKUP(A165,Monitoring!$B$25:$H$390,5,FALSE)),""))</f>
        <v/>
      </c>
      <c r="L165" s="256"/>
      <c r="M165" s="299" t="str">
        <f>IF($M$12="","",IFERROR(IF(Report!$D$4='!'!$HE$4,VLOOKUP(A165,Reference!$B$25:$H$390,6,FALSE),VLOOKUP(A165,Monitoring!$B$25:$H$390,6,FALSE)),""))</f>
        <v/>
      </c>
      <c r="N165" s="256"/>
      <c r="O165" s="299" t="str">
        <f>IF($O$12="","",IFERROR(IF(Report!$D$4='!'!$HE$4,VLOOKUP(A165,Reference!$B$25:$H$390,7,FALSE),VLOOKUP(A165,Monitoring!$B$25:$H$390,7,FALSE)),""))</f>
        <v/>
      </c>
      <c r="P165" s="51"/>
      <c r="Q165" s="151" t="str">
        <f>IF(B165='!'!$GJ$15,'!'!$GJ$15,$Q$12)</f>
        <v>N</v>
      </c>
      <c r="S165" s="4" t="str">
        <f>IFERROR(ABS(T165),'!'!$GJ$15)</f>
        <v>N</v>
      </c>
      <c r="T165" s="84" t="str">
        <f>IFERROR(+G165-D165,'!'!$GJ$15)</f>
        <v>N</v>
      </c>
      <c r="U165" s="64" t="str">
        <f t="shared" si="5"/>
        <v>N</v>
      </c>
      <c r="W165" s="153" t="str">
        <f>IFERROR(I$10*I165,'!'!$GJ$15)</f>
        <v>N</v>
      </c>
      <c r="X165" s="153" t="str">
        <f>IFERROR(K$10*K165,'!'!$GJ$15)</f>
        <v>N</v>
      </c>
      <c r="Y165" s="153" t="str">
        <f>IFERROR(M$10*M165,'!'!$GJ$15)</f>
        <v>N</v>
      </c>
      <c r="Z165" s="153" t="str">
        <f>IFERROR(O$10*O166,'!'!$GJ$15)</f>
        <v>N</v>
      </c>
    </row>
    <row r="166" spans="1:26" x14ac:dyDescent="0.35">
      <c r="A166" s="4">
        <f t="shared" si="4"/>
        <v>142</v>
      </c>
      <c r="B166" s="286" t="str">
        <f>IFERROR(IF(Report!$D$4='!'!$HE$4,VLOOKUP(A166,Reference!$B$25:$H$390,2,FALSE),VLOOKUP(A166,Monitoring!$B$25:$H$390,2,FALSE)),'!'!$GJ$15)</f>
        <v>N</v>
      </c>
      <c r="C166" s="58" t="str">
        <f>Reference!A166</f>
        <v/>
      </c>
      <c r="D166" s="287" t="str">
        <f>IFERROR(IF(Report!$D$4='!'!$HE$4,VLOOKUP(A166,Reference!$B$25:$H$390,3,FALSE),VLOOKUP(A166,Monitoring!$B$25:$H$390,3,FALSE)),'!'!$GJ$15)</f>
        <v>N</v>
      </c>
      <c r="E166" s="285"/>
      <c r="F166" s="254"/>
      <c r="G166" s="151" t="str">
        <f>IF(D166='!'!$GJ$15,'!'!$GJ$15,(SUM(W166,X166,Y166,Z165,Q166)))</f>
        <v>N</v>
      </c>
      <c r="H166" s="51"/>
      <c r="I166" s="299" t="str">
        <f>IF($I$12="","",IFERROR(IF(Report!$D$4='!'!$HE$4,VLOOKUP(A166,Reference!$B$25:$H$390,4,FALSE),VLOOKUP(A166,Monitoring!$B$25:$H$390,4,FALSE)),""))</f>
        <v/>
      </c>
      <c r="J166" s="256"/>
      <c r="K166" s="299" t="str">
        <f>IF($K$12="","",IFERROR(IF(Report!$D$4='!'!$HE$4,VLOOKUP(A166,Reference!$B$25:$H$390,5,FALSE),VLOOKUP(A166,Monitoring!$B$25:$H$390,5,FALSE)),""))</f>
        <v/>
      </c>
      <c r="L166" s="256"/>
      <c r="M166" s="299" t="str">
        <f>IF($M$12="","",IFERROR(IF(Report!$D$4='!'!$HE$4,VLOOKUP(A166,Reference!$B$25:$H$390,6,FALSE),VLOOKUP(A166,Monitoring!$B$25:$H$390,6,FALSE)),""))</f>
        <v/>
      </c>
      <c r="N166" s="256"/>
      <c r="O166" s="299" t="str">
        <f>IF($O$12="","",IFERROR(IF(Report!$D$4='!'!$HE$4,VLOOKUP(A166,Reference!$B$25:$H$390,7,FALSE),VLOOKUP(A166,Monitoring!$B$25:$H$390,7,FALSE)),""))</f>
        <v/>
      </c>
      <c r="P166" s="51"/>
      <c r="Q166" s="151" t="str">
        <f>IF(B166='!'!$GJ$15,'!'!$GJ$15,$Q$12)</f>
        <v>N</v>
      </c>
      <c r="S166" s="4" t="str">
        <f>IFERROR(ABS(T166),'!'!$GJ$15)</f>
        <v>N</v>
      </c>
      <c r="T166" s="84" t="str">
        <f>IFERROR(+G166-D166,'!'!$GJ$15)</f>
        <v>N</v>
      </c>
      <c r="U166" s="64" t="str">
        <f t="shared" si="5"/>
        <v>N</v>
      </c>
      <c r="W166" s="153" t="str">
        <f>IFERROR(I$10*I166,'!'!$GJ$15)</f>
        <v>N</v>
      </c>
      <c r="X166" s="153" t="str">
        <f>IFERROR(K$10*K166,'!'!$GJ$15)</f>
        <v>N</v>
      </c>
      <c r="Y166" s="153" t="str">
        <f>IFERROR(M$10*M166,'!'!$GJ$15)</f>
        <v>N</v>
      </c>
      <c r="Z166" s="153" t="str">
        <f>IFERROR(O$10*O167,'!'!$GJ$15)</f>
        <v>N</v>
      </c>
    </row>
    <row r="167" spans="1:26" x14ac:dyDescent="0.35">
      <c r="A167" s="4">
        <f t="shared" si="4"/>
        <v>143</v>
      </c>
      <c r="B167" s="286" t="str">
        <f>IFERROR(IF(Report!$D$4='!'!$HE$4,VLOOKUP(A167,Reference!$B$25:$H$390,2,FALSE),VLOOKUP(A167,Monitoring!$B$25:$H$390,2,FALSE)),'!'!$GJ$15)</f>
        <v>N</v>
      </c>
      <c r="C167" s="58" t="str">
        <f>Reference!A167</f>
        <v/>
      </c>
      <c r="D167" s="287" t="str">
        <f>IFERROR(IF(Report!$D$4='!'!$HE$4,VLOOKUP(A167,Reference!$B$25:$H$390,3,FALSE),VLOOKUP(A167,Monitoring!$B$25:$H$390,3,FALSE)),'!'!$GJ$15)</f>
        <v>N</v>
      </c>
      <c r="E167" s="285"/>
      <c r="F167" s="254"/>
      <c r="G167" s="151" t="str">
        <f>IF(D167='!'!$GJ$15,'!'!$GJ$15,(SUM(W167,X167,Y167,Z166,Q167)))</f>
        <v>N</v>
      </c>
      <c r="H167" s="51"/>
      <c r="I167" s="299" t="str">
        <f>IF($I$12="","",IFERROR(IF(Report!$D$4='!'!$HE$4,VLOOKUP(A167,Reference!$B$25:$H$390,4,FALSE),VLOOKUP(A167,Monitoring!$B$25:$H$390,4,FALSE)),""))</f>
        <v/>
      </c>
      <c r="J167" s="256"/>
      <c r="K167" s="299" t="str">
        <f>IF($K$12="","",IFERROR(IF(Report!$D$4='!'!$HE$4,VLOOKUP(A167,Reference!$B$25:$H$390,5,FALSE),VLOOKUP(A167,Monitoring!$B$25:$H$390,5,FALSE)),""))</f>
        <v/>
      </c>
      <c r="L167" s="256"/>
      <c r="M167" s="299" t="str">
        <f>IF($M$12="","",IFERROR(IF(Report!$D$4='!'!$HE$4,VLOOKUP(A167,Reference!$B$25:$H$390,6,FALSE),VLOOKUP(A167,Monitoring!$B$25:$H$390,6,FALSE)),""))</f>
        <v/>
      </c>
      <c r="N167" s="256"/>
      <c r="O167" s="299" t="str">
        <f>IF($O$12="","",IFERROR(IF(Report!$D$4='!'!$HE$4,VLOOKUP(A167,Reference!$B$25:$H$390,7,FALSE),VLOOKUP(A167,Monitoring!$B$25:$H$390,7,FALSE)),""))</f>
        <v/>
      </c>
      <c r="P167" s="51"/>
      <c r="Q167" s="151" t="str">
        <f>IF(B167='!'!$GJ$15,'!'!$GJ$15,$Q$12)</f>
        <v>N</v>
      </c>
      <c r="S167" s="4" t="str">
        <f>IFERROR(ABS(T167),'!'!$GJ$15)</f>
        <v>N</v>
      </c>
      <c r="T167" s="84" t="str">
        <f>IFERROR(+G167-D167,'!'!$GJ$15)</f>
        <v>N</v>
      </c>
      <c r="U167" s="64" t="str">
        <f t="shared" si="5"/>
        <v>N</v>
      </c>
      <c r="W167" s="153" t="str">
        <f>IFERROR(I$10*I167,'!'!$GJ$15)</f>
        <v>N</v>
      </c>
      <c r="X167" s="153" t="str">
        <f>IFERROR(K$10*K167,'!'!$GJ$15)</f>
        <v>N</v>
      </c>
      <c r="Y167" s="153" t="str">
        <f>IFERROR(M$10*M167,'!'!$GJ$15)</f>
        <v>N</v>
      </c>
      <c r="Z167" s="153" t="str">
        <f>IFERROR(O$10*O168,'!'!$GJ$15)</f>
        <v>N</v>
      </c>
    </row>
    <row r="168" spans="1:26" x14ac:dyDescent="0.35">
      <c r="A168" s="4">
        <f t="shared" si="4"/>
        <v>144</v>
      </c>
      <c r="B168" s="286" t="str">
        <f>IFERROR(IF(Report!$D$4='!'!$HE$4,VLOOKUP(A168,Reference!$B$25:$H$390,2,FALSE),VLOOKUP(A168,Monitoring!$B$25:$H$390,2,FALSE)),'!'!$GJ$15)</f>
        <v>N</v>
      </c>
      <c r="C168" s="58" t="str">
        <f>Reference!A168</f>
        <v/>
      </c>
      <c r="D168" s="287" t="str">
        <f>IFERROR(IF(Report!$D$4='!'!$HE$4,VLOOKUP(A168,Reference!$B$25:$H$390,3,FALSE),VLOOKUP(A168,Monitoring!$B$25:$H$390,3,FALSE)),'!'!$GJ$15)</f>
        <v>N</v>
      </c>
      <c r="E168" s="285"/>
      <c r="F168" s="254"/>
      <c r="G168" s="151" t="str">
        <f>IF(D168='!'!$GJ$15,'!'!$GJ$15,(SUM(W168,X168,Y168,Z167,Q168)))</f>
        <v>N</v>
      </c>
      <c r="H168" s="51"/>
      <c r="I168" s="299" t="str">
        <f>IF($I$12="","",IFERROR(IF(Report!$D$4='!'!$HE$4,VLOOKUP(A168,Reference!$B$25:$H$390,4,FALSE),VLOOKUP(A168,Monitoring!$B$25:$H$390,4,FALSE)),""))</f>
        <v/>
      </c>
      <c r="J168" s="256"/>
      <c r="K168" s="299" t="str">
        <f>IF($K$12="","",IFERROR(IF(Report!$D$4='!'!$HE$4,VLOOKUP(A168,Reference!$B$25:$H$390,5,FALSE),VLOOKUP(A168,Monitoring!$B$25:$H$390,5,FALSE)),""))</f>
        <v/>
      </c>
      <c r="L168" s="256"/>
      <c r="M168" s="299" t="str">
        <f>IF($M$12="","",IFERROR(IF(Report!$D$4='!'!$HE$4,VLOOKUP(A168,Reference!$B$25:$H$390,6,FALSE),VLOOKUP(A168,Monitoring!$B$25:$H$390,6,FALSE)),""))</f>
        <v/>
      </c>
      <c r="N168" s="256"/>
      <c r="O168" s="299" t="str">
        <f>IF($O$12="","",IFERROR(IF(Report!$D$4='!'!$HE$4,VLOOKUP(A168,Reference!$B$25:$H$390,7,FALSE),VLOOKUP(A168,Monitoring!$B$25:$H$390,7,FALSE)),""))</f>
        <v/>
      </c>
      <c r="P168" s="51"/>
      <c r="Q168" s="151" t="str">
        <f>IF(B168='!'!$GJ$15,'!'!$GJ$15,$Q$12)</f>
        <v>N</v>
      </c>
      <c r="S168" s="4" t="str">
        <f>IFERROR(ABS(T168),'!'!$GJ$15)</f>
        <v>N</v>
      </c>
      <c r="T168" s="84" t="str">
        <f>IFERROR(+G168-D168,'!'!$GJ$15)</f>
        <v>N</v>
      </c>
      <c r="U168" s="64" t="str">
        <f t="shared" si="5"/>
        <v>N</v>
      </c>
      <c r="W168" s="153" t="str">
        <f>IFERROR(I$10*I168,'!'!$GJ$15)</f>
        <v>N</v>
      </c>
      <c r="X168" s="153" t="str">
        <f>IFERROR(K$10*K168,'!'!$GJ$15)</f>
        <v>N</v>
      </c>
      <c r="Y168" s="153" t="str">
        <f>IFERROR(M$10*M168,'!'!$GJ$15)</f>
        <v>N</v>
      </c>
      <c r="Z168" s="153" t="str">
        <f>IFERROR(O$10*O169,'!'!$GJ$15)</f>
        <v>N</v>
      </c>
    </row>
    <row r="169" spans="1:26" x14ac:dyDescent="0.35">
      <c r="A169" s="4">
        <f t="shared" si="4"/>
        <v>145</v>
      </c>
      <c r="B169" s="286" t="str">
        <f>IFERROR(IF(Report!$D$4='!'!$HE$4,VLOOKUP(A169,Reference!$B$25:$H$390,2,FALSE),VLOOKUP(A169,Monitoring!$B$25:$H$390,2,FALSE)),'!'!$GJ$15)</f>
        <v>N</v>
      </c>
      <c r="C169" s="58" t="str">
        <f>Reference!A169</f>
        <v/>
      </c>
      <c r="D169" s="287" t="str">
        <f>IFERROR(IF(Report!$D$4='!'!$HE$4,VLOOKUP(A169,Reference!$B$25:$H$390,3,FALSE),VLOOKUP(A169,Monitoring!$B$25:$H$390,3,FALSE)),'!'!$GJ$15)</f>
        <v>N</v>
      </c>
      <c r="E169" s="285"/>
      <c r="F169" s="254"/>
      <c r="G169" s="151" t="str">
        <f>IF(D169='!'!$GJ$15,'!'!$GJ$15,(SUM(W169,X169,Y169,Z168,Q169)))</f>
        <v>N</v>
      </c>
      <c r="H169" s="51"/>
      <c r="I169" s="299" t="str">
        <f>IF($I$12="","",IFERROR(IF(Report!$D$4='!'!$HE$4,VLOOKUP(A169,Reference!$B$25:$H$390,4,FALSE),VLOOKUP(A169,Monitoring!$B$25:$H$390,4,FALSE)),""))</f>
        <v/>
      </c>
      <c r="J169" s="256"/>
      <c r="K169" s="299" t="str">
        <f>IF($K$12="","",IFERROR(IF(Report!$D$4='!'!$HE$4,VLOOKUP(A169,Reference!$B$25:$H$390,5,FALSE),VLOOKUP(A169,Monitoring!$B$25:$H$390,5,FALSE)),""))</f>
        <v/>
      </c>
      <c r="L169" s="256"/>
      <c r="M169" s="299" t="str">
        <f>IF($M$12="","",IFERROR(IF(Report!$D$4='!'!$HE$4,VLOOKUP(A169,Reference!$B$25:$H$390,6,FALSE),VLOOKUP(A169,Monitoring!$B$25:$H$390,6,FALSE)),""))</f>
        <v/>
      </c>
      <c r="N169" s="256"/>
      <c r="O169" s="299" t="str">
        <f>IF($O$12="","",IFERROR(IF(Report!$D$4='!'!$HE$4,VLOOKUP(A169,Reference!$B$25:$H$390,7,FALSE),VLOOKUP(A169,Monitoring!$B$25:$H$390,7,FALSE)),""))</f>
        <v/>
      </c>
      <c r="P169" s="51"/>
      <c r="Q169" s="151" t="str">
        <f>IF(B169='!'!$GJ$15,'!'!$GJ$15,$Q$12)</f>
        <v>N</v>
      </c>
      <c r="S169" s="4" t="str">
        <f>IFERROR(ABS(T169),'!'!$GJ$15)</f>
        <v>N</v>
      </c>
      <c r="T169" s="84" t="str">
        <f>IFERROR(+G169-D169,'!'!$GJ$15)</f>
        <v>N</v>
      </c>
      <c r="U169" s="64" t="str">
        <f t="shared" si="5"/>
        <v>N</v>
      </c>
      <c r="W169" s="153" t="str">
        <f>IFERROR(I$10*I169,'!'!$GJ$15)</f>
        <v>N</v>
      </c>
      <c r="X169" s="153" t="str">
        <f>IFERROR(K$10*K169,'!'!$GJ$15)</f>
        <v>N</v>
      </c>
      <c r="Y169" s="153" t="str">
        <f>IFERROR(M$10*M169,'!'!$GJ$15)</f>
        <v>N</v>
      </c>
      <c r="Z169" s="153" t="str">
        <f>IFERROR(O$10*O170,'!'!$GJ$15)</f>
        <v>N</v>
      </c>
    </row>
    <row r="170" spans="1:26" x14ac:dyDescent="0.35">
      <c r="A170" s="4">
        <f t="shared" si="4"/>
        <v>146</v>
      </c>
      <c r="B170" s="286" t="str">
        <f>IFERROR(IF(Report!$D$4='!'!$HE$4,VLOOKUP(A170,Reference!$B$25:$H$390,2,FALSE),VLOOKUP(A170,Monitoring!$B$25:$H$390,2,FALSE)),'!'!$GJ$15)</f>
        <v>N</v>
      </c>
      <c r="C170" s="58" t="str">
        <f>Reference!A170</f>
        <v/>
      </c>
      <c r="D170" s="287" t="str">
        <f>IFERROR(IF(Report!$D$4='!'!$HE$4,VLOOKUP(A170,Reference!$B$25:$H$390,3,FALSE),VLOOKUP(A170,Monitoring!$B$25:$H$390,3,FALSE)),'!'!$GJ$15)</f>
        <v>N</v>
      </c>
      <c r="E170" s="285"/>
      <c r="F170" s="254"/>
      <c r="G170" s="151" t="str">
        <f>IF(D170='!'!$GJ$15,'!'!$GJ$15,(SUM(W170,X170,Y170,Z169,Q170)))</f>
        <v>N</v>
      </c>
      <c r="H170" s="51"/>
      <c r="I170" s="299" t="str">
        <f>IF($I$12="","",IFERROR(IF(Report!$D$4='!'!$HE$4,VLOOKUP(A170,Reference!$B$25:$H$390,4,FALSE),VLOOKUP(A170,Monitoring!$B$25:$H$390,4,FALSE)),""))</f>
        <v/>
      </c>
      <c r="J170" s="256"/>
      <c r="K170" s="299" t="str">
        <f>IF($K$12="","",IFERROR(IF(Report!$D$4='!'!$HE$4,VLOOKUP(A170,Reference!$B$25:$H$390,5,FALSE),VLOOKUP(A170,Monitoring!$B$25:$H$390,5,FALSE)),""))</f>
        <v/>
      </c>
      <c r="L170" s="256"/>
      <c r="M170" s="299" t="str">
        <f>IF($M$12="","",IFERROR(IF(Report!$D$4='!'!$HE$4,VLOOKUP(A170,Reference!$B$25:$H$390,6,FALSE),VLOOKUP(A170,Monitoring!$B$25:$H$390,6,FALSE)),""))</f>
        <v/>
      </c>
      <c r="N170" s="256"/>
      <c r="O170" s="299" t="str">
        <f>IF($O$12="","",IFERROR(IF(Report!$D$4='!'!$HE$4,VLOOKUP(A170,Reference!$B$25:$H$390,7,FALSE),VLOOKUP(A170,Monitoring!$B$25:$H$390,7,FALSE)),""))</f>
        <v/>
      </c>
      <c r="P170" s="51"/>
      <c r="Q170" s="151" t="str">
        <f>IF(B170='!'!$GJ$15,'!'!$GJ$15,$Q$12)</f>
        <v>N</v>
      </c>
      <c r="S170" s="4" t="str">
        <f>IFERROR(ABS(T170),'!'!$GJ$15)</f>
        <v>N</v>
      </c>
      <c r="T170" s="84" t="str">
        <f>IFERROR(+G170-D170,'!'!$GJ$15)</f>
        <v>N</v>
      </c>
      <c r="U170" s="64" t="str">
        <f t="shared" si="5"/>
        <v>N</v>
      </c>
      <c r="W170" s="153" t="str">
        <f>IFERROR(I$10*I170,'!'!$GJ$15)</f>
        <v>N</v>
      </c>
      <c r="X170" s="153" t="str">
        <f>IFERROR(K$10*K170,'!'!$GJ$15)</f>
        <v>N</v>
      </c>
      <c r="Y170" s="153" t="str">
        <f>IFERROR(M$10*M170,'!'!$GJ$15)</f>
        <v>N</v>
      </c>
      <c r="Z170" s="153" t="str">
        <f>IFERROR(O$10*O171,'!'!$GJ$15)</f>
        <v>N</v>
      </c>
    </row>
    <row r="171" spans="1:26" x14ac:dyDescent="0.35">
      <c r="A171" s="4">
        <f t="shared" si="4"/>
        <v>147</v>
      </c>
      <c r="B171" s="286" t="str">
        <f>IFERROR(IF(Report!$D$4='!'!$HE$4,VLOOKUP(A171,Reference!$B$25:$H$390,2,FALSE),VLOOKUP(A171,Monitoring!$B$25:$H$390,2,FALSE)),'!'!$GJ$15)</f>
        <v>N</v>
      </c>
      <c r="C171" s="58" t="str">
        <f>Reference!A171</f>
        <v/>
      </c>
      <c r="D171" s="287" t="str">
        <f>IFERROR(IF(Report!$D$4='!'!$HE$4,VLOOKUP(A171,Reference!$B$25:$H$390,3,FALSE),VLOOKUP(A171,Monitoring!$B$25:$H$390,3,FALSE)),'!'!$GJ$15)</f>
        <v>N</v>
      </c>
      <c r="E171" s="285"/>
      <c r="F171" s="254"/>
      <c r="G171" s="151" t="str">
        <f>IF(D171='!'!$GJ$15,'!'!$GJ$15,(SUM(W171,X171,Y171,Z170,Q171)))</f>
        <v>N</v>
      </c>
      <c r="H171" s="51"/>
      <c r="I171" s="299" t="str">
        <f>IF($I$12="","",IFERROR(IF(Report!$D$4='!'!$HE$4,VLOOKUP(A171,Reference!$B$25:$H$390,4,FALSE),VLOOKUP(A171,Monitoring!$B$25:$H$390,4,FALSE)),""))</f>
        <v/>
      </c>
      <c r="J171" s="256"/>
      <c r="K171" s="299" t="str">
        <f>IF($K$12="","",IFERROR(IF(Report!$D$4='!'!$HE$4,VLOOKUP(A171,Reference!$B$25:$H$390,5,FALSE),VLOOKUP(A171,Monitoring!$B$25:$H$390,5,FALSE)),""))</f>
        <v/>
      </c>
      <c r="L171" s="256"/>
      <c r="M171" s="299" t="str">
        <f>IF($M$12="","",IFERROR(IF(Report!$D$4='!'!$HE$4,VLOOKUP(A171,Reference!$B$25:$H$390,6,FALSE),VLOOKUP(A171,Monitoring!$B$25:$H$390,6,FALSE)),""))</f>
        <v/>
      </c>
      <c r="N171" s="256"/>
      <c r="O171" s="299" t="str">
        <f>IF($O$12="","",IFERROR(IF(Report!$D$4='!'!$HE$4,VLOOKUP(A171,Reference!$B$25:$H$390,7,FALSE),VLOOKUP(A171,Monitoring!$B$25:$H$390,7,FALSE)),""))</f>
        <v/>
      </c>
      <c r="P171" s="51"/>
      <c r="Q171" s="151" t="str">
        <f>IF(B171='!'!$GJ$15,'!'!$GJ$15,$Q$12)</f>
        <v>N</v>
      </c>
      <c r="S171" s="4" t="str">
        <f>IFERROR(ABS(T171),'!'!$GJ$15)</f>
        <v>N</v>
      </c>
      <c r="T171" s="84" t="str">
        <f>IFERROR(+G171-D171,'!'!$GJ$15)</f>
        <v>N</v>
      </c>
      <c r="U171" s="64" t="str">
        <f t="shared" si="5"/>
        <v>N</v>
      </c>
      <c r="W171" s="153" t="str">
        <f>IFERROR(I$10*I171,'!'!$GJ$15)</f>
        <v>N</v>
      </c>
      <c r="X171" s="153" t="str">
        <f>IFERROR(K$10*K171,'!'!$GJ$15)</f>
        <v>N</v>
      </c>
      <c r="Y171" s="153" t="str">
        <f>IFERROR(M$10*M171,'!'!$GJ$15)</f>
        <v>N</v>
      </c>
      <c r="Z171" s="153" t="str">
        <f>IFERROR(O$10*O172,'!'!$GJ$15)</f>
        <v>N</v>
      </c>
    </row>
    <row r="172" spans="1:26" x14ac:dyDescent="0.35">
      <c r="A172" s="4">
        <f t="shared" si="4"/>
        <v>148</v>
      </c>
      <c r="B172" s="286" t="str">
        <f>IFERROR(IF(Report!$D$4='!'!$HE$4,VLOOKUP(A172,Reference!$B$25:$H$390,2,FALSE),VLOOKUP(A172,Monitoring!$B$25:$H$390,2,FALSE)),'!'!$GJ$15)</f>
        <v>N</v>
      </c>
      <c r="C172" s="58" t="str">
        <f>Reference!A172</f>
        <v/>
      </c>
      <c r="D172" s="287" t="str">
        <f>IFERROR(IF(Report!$D$4='!'!$HE$4,VLOOKUP(A172,Reference!$B$25:$H$390,3,FALSE),VLOOKUP(A172,Monitoring!$B$25:$H$390,3,FALSE)),'!'!$GJ$15)</f>
        <v>N</v>
      </c>
      <c r="E172" s="285"/>
      <c r="F172" s="254"/>
      <c r="G172" s="151" t="str">
        <f>IF(D172='!'!$GJ$15,'!'!$GJ$15,(SUM(W172,X172,Y172,Z171,Q172)))</f>
        <v>N</v>
      </c>
      <c r="H172" s="51"/>
      <c r="I172" s="299" t="str">
        <f>IF($I$12="","",IFERROR(IF(Report!$D$4='!'!$HE$4,VLOOKUP(A172,Reference!$B$25:$H$390,4,FALSE),VLOOKUP(A172,Monitoring!$B$25:$H$390,4,FALSE)),""))</f>
        <v/>
      </c>
      <c r="J172" s="256"/>
      <c r="K172" s="299" t="str">
        <f>IF($K$12="","",IFERROR(IF(Report!$D$4='!'!$HE$4,VLOOKUP(A172,Reference!$B$25:$H$390,5,FALSE),VLOOKUP(A172,Monitoring!$B$25:$H$390,5,FALSE)),""))</f>
        <v/>
      </c>
      <c r="L172" s="256"/>
      <c r="M172" s="299" t="str">
        <f>IF($M$12="","",IFERROR(IF(Report!$D$4='!'!$HE$4,VLOOKUP(A172,Reference!$B$25:$H$390,6,FALSE),VLOOKUP(A172,Monitoring!$B$25:$H$390,6,FALSE)),""))</f>
        <v/>
      </c>
      <c r="N172" s="256"/>
      <c r="O172" s="299" t="str">
        <f>IF($O$12="","",IFERROR(IF(Report!$D$4='!'!$HE$4,VLOOKUP(A172,Reference!$B$25:$H$390,7,FALSE),VLOOKUP(A172,Monitoring!$B$25:$H$390,7,FALSE)),""))</f>
        <v/>
      </c>
      <c r="P172" s="51"/>
      <c r="Q172" s="151" t="str">
        <f>IF(B172='!'!$GJ$15,'!'!$GJ$15,$Q$12)</f>
        <v>N</v>
      </c>
      <c r="S172" s="4" t="str">
        <f>IFERROR(ABS(T172),'!'!$GJ$15)</f>
        <v>N</v>
      </c>
      <c r="T172" s="84" t="str">
        <f>IFERROR(+G172-D172,'!'!$GJ$15)</f>
        <v>N</v>
      </c>
      <c r="U172" s="64" t="str">
        <f t="shared" si="5"/>
        <v>N</v>
      </c>
      <c r="W172" s="153" t="str">
        <f>IFERROR(I$10*I172,'!'!$GJ$15)</f>
        <v>N</v>
      </c>
      <c r="X172" s="153" t="str">
        <f>IFERROR(K$10*K172,'!'!$GJ$15)</f>
        <v>N</v>
      </c>
      <c r="Y172" s="153" t="str">
        <f>IFERROR(M$10*M172,'!'!$GJ$15)</f>
        <v>N</v>
      </c>
      <c r="Z172" s="153" t="str">
        <f>IFERROR(O$10*O173,'!'!$GJ$15)</f>
        <v>N</v>
      </c>
    </row>
    <row r="173" spans="1:26" x14ac:dyDescent="0.35">
      <c r="A173" s="4">
        <f t="shared" si="4"/>
        <v>149</v>
      </c>
      <c r="B173" s="286" t="str">
        <f>IFERROR(IF(Report!$D$4='!'!$HE$4,VLOOKUP(A173,Reference!$B$25:$H$390,2,FALSE),VLOOKUP(A173,Monitoring!$B$25:$H$390,2,FALSE)),'!'!$GJ$15)</f>
        <v>N</v>
      </c>
      <c r="C173" s="58" t="str">
        <f>Reference!A173</f>
        <v/>
      </c>
      <c r="D173" s="287" t="str">
        <f>IFERROR(IF(Report!$D$4='!'!$HE$4,VLOOKUP(A173,Reference!$B$25:$H$390,3,FALSE),VLOOKUP(A173,Monitoring!$B$25:$H$390,3,FALSE)),'!'!$GJ$15)</f>
        <v>N</v>
      </c>
      <c r="E173" s="285"/>
      <c r="F173" s="254"/>
      <c r="G173" s="151" t="str">
        <f>IF(D173='!'!$GJ$15,'!'!$GJ$15,(SUM(W173,X173,Y173,Z172,Q173)))</f>
        <v>N</v>
      </c>
      <c r="H173" s="51"/>
      <c r="I173" s="299" t="str">
        <f>IF($I$12="","",IFERROR(IF(Report!$D$4='!'!$HE$4,VLOOKUP(A173,Reference!$B$25:$H$390,4,FALSE),VLOOKUP(A173,Monitoring!$B$25:$H$390,4,FALSE)),""))</f>
        <v/>
      </c>
      <c r="J173" s="256"/>
      <c r="K173" s="299" t="str">
        <f>IF($K$12="","",IFERROR(IF(Report!$D$4='!'!$HE$4,VLOOKUP(A173,Reference!$B$25:$H$390,5,FALSE),VLOOKUP(A173,Monitoring!$B$25:$H$390,5,FALSE)),""))</f>
        <v/>
      </c>
      <c r="L173" s="256"/>
      <c r="M173" s="299" t="str">
        <f>IF($M$12="","",IFERROR(IF(Report!$D$4='!'!$HE$4,VLOOKUP(A173,Reference!$B$25:$H$390,6,FALSE),VLOOKUP(A173,Monitoring!$B$25:$H$390,6,FALSE)),""))</f>
        <v/>
      </c>
      <c r="N173" s="256"/>
      <c r="O173" s="299" t="str">
        <f>IF($O$12="","",IFERROR(IF(Report!$D$4='!'!$HE$4,VLOOKUP(A173,Reference!$B$25:$H$390,7,FALSE),VLOOKUP(A173,Monitoring!$B$25:$H$390,7,FALSE)),""))</f>
        <v/>
      </c>
      <c r="P173" s="51"/>
      <c r="Q173" s="151" t="str">
        <f>IF(B173='!'!$GJ$15,'!'!$GJ$15,$Q$12)</f>
        <v>N</v>
      </c>
      <c r="S173" s="4" t="str">
        <f>IFERROR(ABS(T173),'!'!$GJ$15)</f>
        <v>N</v>
      </c>
      <c r="T173" s="84" t="str">
        <f>IFERROR(+G173-D173,'!'!$GJ$15)</f>
        <v>N</v>
      </c>
      <c r="U173" s="64" t="str">
        <f t="shared" si="5"/>
        <v>N</v>
      </c>
      <c r="W173" s="153" t="str">
        <f>IFERROR(I$10*I173,'!'!$GJ$15)</f>
        <v>N</v>
      </c>
      <c r="X173" s="153" t="str">
        <f>IFERROR(K$10*K173,'!'!$GJ$15)</f>
        <v>N</v>
      </c>
      <c r="Y173" s="153" t="str">
        <f>IFERROR(M$10*M173,'!'!$GJ$15)</f>
        <v>N</v>
      </c>
      <c r="Z173" s="153" t="str">
        <f>IFERROR(O$10*O174,'!'!$GJ$15)</f>
        <v>N</v>
      </c>
    </row>
    <row r="174" spans="1:26" x14ac:dyDescent="0.35">
      <c r="A174" s="4">
        <f t="shared" si="4"/>
        <v>150</v>
      </c>
      <c r="B174" s="286" t="str">
        <f>IFERROR(IF(Report!$D$4='!'!$HE$4,VLOOKUP(A174,Reference!$B$25:$H$390,2,FALSE),VLOOKUP(A174,Monitoring!$B$25:$H$390,2,FALSE)),'!'!$GJ$15)</f>
        <v>N</v>
      </c>
      <c r="C174" s="58" t="str">
        <f>Reference!A174</f>
        <v/>
      </c>
      <c r="D174" s="287" t="str">
        <f>IFERROR(IF(Report!$D$4='!'!$HE$4,VLOOKUP(A174,Reference!$B$25:$H$390,3,FALSE),VLOOKUP(A174,Monitoring!$B$25:$H$390,3,FALSE)),'!'!$GJ$15)</f>
        <v>N</v>
      </c>
      <c r="E174" s="285"/>
      <c r="F174" s="254"/>
      <c r="G174" s="151" t="str">
        <f>IF(D174='!'!$GJ$15,'!'!$GJ$15,(SUM(W174,X174,Y174,Z173,Q174)))</f>
        <v>N</v>
      </c>
      <c r="H174" s="51"/>
      <c r="I174" s="299" t="str">
        <f>IF($I$12="","",IFERROR(IF(Report!$D$4='!'!$HE$4,VLOOKUP(A174,Reference!$B$25:$H$390,4,FALSE),VLOOKUP(A174,Monitoring!$B$25:$H$390,4,FALSE)),""))</f>
        <v/>
      </c>
      <c r="J174" s="256"/>
      <c r="K174" s="299" t="str">
        <f>IF($K$12="","",IFERROR(IF(Report!$D$4='!'!$HE$4,VLOOKUP(A174,Reference!$B$25:$H$390,5,FALSE),VLOOKUP(A174,Monitoring!$B$25:$H$390,5,FALSE)),""))</f>
        <v/>
      </c>
      <c r="L174" s="256"/>
      <c r="M174" s="299" t="str">
        <f>IF($M$12="","",IFERROR(IF(Report!$D$4='!'!$HE$4,VLOOKUP(A174,Reference!$B$25:$H$390,6,FALSE),VLOOKUP(A174,Monitoring!$B$25:$H$390,6,FALSE)),""))</f>
        <v/>
      </c>
      <c r="N174" s="256"/>
      <c r="O174" s="299" t="str">
        <f>IF($O$12="","",IFERROR(IF(Report!$D$4='!'!$HE$4,VLOOKUP(A174,Reference!$B$25:$H$390,7,FALSE),VLOOKUP(A174,Monitoring!$B$25:$H$390,7,FALSE)),""))</f>
        <v/>
      </c>
      <c r="P174" s="51"/>
      <c r="Q174" s="151" t="str">
        <f>IF(B174='!'!$GJ$15,'!'!$GJ$15,$Q$12)</f>
        <v>N</v>
      </c>
      <c r="S174" s="4" t="str">
        <f>IFERROR(ABS(T174),'!'!$GJ$15)</f>
        <v>N</v>
      </c>
      <c r="T174" s="84" t="str">
        <f>IFERROR(+G174-D174,'!'!$GJ$15)</f>
        <v>N</v>
      </c>
      <c r="U174" s="64" t="str">
        <f t="shared" si="5"/>
        <v>N</v>
      </c>
      <c r="W174" s="153" t="str">
        <f>IFERROR(I$10*I174,'!'!$GJ$15)</f>
        <v>N</v>
      </c>
      <c r="X174" s="153" t="str">
        <f>IFERROR(K$10*K174,'!'!$GJ$15)</f>
        <v>N</v>
      </c>
      <c r="Y174" s="153" t="str">
        <f>IFERROR(M$10*M174,'!'!$GJ$15)</f>
        <v>N</v>
      </c>
      <c r="Z174" s="153" t="str">
        <f>IFERROR(O$10*O175,'!'!$GJ$15)</f>
        <v>N</v>
      </c>
    </row>
    <row r="175" spans="1:26" x14ac:dyDescent="0.35">
      <c r="A175" s="4">
        <f t="shared" si="4"/>
        <v>151</v>
      </c>
      <c r="B175" s="286" t="str">
        <f>IFERROR(IF(Report!$D$4='!'!$HE$4,VLOOKUP(A175,Reference!$B$25:$H$390,2,FALSE),VLOOKUP(A175,Monitoring!$B$25:$H$390,2,FALSE)),'!'!$GJ$15)</f>
        <v>N</v>
      </c>
      <c r="C175" s="58" t="str">
        <f>Reference!A175</f>
        <v/>
      </c>
      <c r="D175" s="287" t="str">
        <f>IFERROR(IF(Report!$D$4='!'!$HE$4,VLOOKUP(A175,Reference!$B$25:$H$390,3,FALSE),VLOOKUP(A175,Monitoring!$B$25:$H$390,3,FALSE)),'!'!$GJ$15)</f>
        <v>N</v>
      </c>
      <c r="E175" s="285"/>
      <c r="F175" s="254"/>
      <c r="G175" s="151" t="str">
        <f>IF(D175='!'!$GJ$15,'!'!$GJ$15,(SUM(W175,X175,Y175,Z174,Q175)))</f>
        <v>N</v>
      </c>
      <c r="H175" s="51"/>
      <c r="I175" s="299" t="str">
        <f>IF($I$12="","",IFERROR(IF(Report!$D$4='!'!$HE$4,VLOOKUP(A175,Reference!$B$25:$H$390,4,FALSE),VLOOKUP(A175,Monitoring!$B$25:$H$390,4,FALSE)),""))</f>
        <v/>
      </c>
      <c r="J175" s="256"/>
      <c r="K175" s="299" t="str">
        <f>IF($K$12="","",IFERROR(IF(Report!$D$4='!'!$HE$4,VLOOKUP(A175,Reference!$B$25:$H$390,5,FALSE),VLOOKUP(A175,Monitoring!$B$25:$H$390,5,FALSE)),""))</f>
        <v/>
      </c>
      <c r="L175" s="256"/>
      <c r="M175" s="299" t="str">
        <f>IF($M$12="","",IFERROR(IF(Report!$D$4='!'!$HE$4,VLOOKUP(A175,Reference!$B$25:$H$390,6,FALSE),VLOOKUP(A175,Monitoring!$B$25:$H$390,6,FALSE)),""))</f>
        <v/>
      </c>
      <c r="N175" s="256"/>
      <c r="O175" s="299" t="str">
        <f>IF($O$12="","",IFERROR(IF(Report!$D$4='!'!$HE$4,VLOOKUP(A175,Reference!$B$25:$H$390,7,FALSE),VLOOKUP(A175,Monitoring!$B$25:$H$390,7,FALSE)),""))</f>
        <v/>
      </c>
      <c r="P175" s="51"/>
      <c r="Q175" s="151" t="str">
        <f>IF(B175='!'!$GJ$15,'!'!$GJ$15,$Q$12)</f>
        <v>N</v>
      </c>
      <c r="S175" s="4" t="str">
        <f>IFERROR(ABS(T175),'!'!$GJ$15)</f>
        <v>N</v>
      </c>
      <c r="T175" s="84" t="str">
        <f>IFERROR(+G175-D175,'!'!$GJ$15)</f>
        <v>N</v>
      </c>
      <c r="U175" s="64" t="str">
        <f t="shared" si="5"/>
        <v>N</v>
      </c>
      <c r="W175" s="153" t="str">
        <f>IFERROR(I$10*I175,'!'!$GJ$15)</f>
        <v>N</v>
      </c>
      <c r="X175" s="153" t="str">
        <f>IFERROR(K$10*K175,'!'!$GJ$15)</f>
        <v>N</v>
      </c>
      <c r="Y175" s="153" t="str">
        <f>IFERROR(M$10*M175,'!'!$GJ$15)</f>
        <v>N</v>
      </c>
      <c r="Z175" s="153" t="str">
        <f>IFERROR(O$10*O176,'!'!$GJ$15)</f>
        <v>N</v>
      </c>
    </row>
    <row r="176" spans="1:26" x14ac:dyDescent="0.35">
      <c r="A176" s="4">
        <f t="shared" si="4"/>
        <v>152</v>
      </c>
      <c r="B176" s="286" t="str">
        <f>IFERROR(IF(Report!$D$4='!'!$HE$4,VLOOKUP(A176,Reference!$B$25:$H$390,2,FALSE),VLOOKUP(A176,Monitoring!$B$25:$H$390,2,FALSE)),'!'!$GJ$15)</f>
        <v>N</v>
      </c>
      <c r="C176" s="58" t="str">
        <f>Reference!A176</f>
        <v/>
      </c>
      <c r="D176" s="287" t="str">
        <f>IFERROR(IF(Report!$D$4='!'!$HE$4,VLOOKUP(A176,Reference!$B$25:$H$390,3,FALSE),VLOOKUP(A176,Monitoring!$B$25:$H$390,3,FALSE)),'!'!$GJ$15)</f>
        <v>N</v>
      </c>
      <c r="E176" s="285"/>
      <c r="F176" s="254"/>
      <c r="G176" s="151" t="str">
        <f>IF(D176='!'!$GJ$15,'!'!$GJ$15,(SUM(W176,X176,Y176,Z175,Q176)))</f>
        <v>N</v>
      </c>
      <c r="H176" s="51"/>
      <c r="I176" s="299" t="str">
        <f>IF($I$12="","",IFERROR(IF(Report!$D$4='!'!$HE$4,VLOOKUP(A176,Reference!$B$25:$H$390,4,FALSE),VLOOKUP(A176,Monitoring!$B$25:$H$390,4,FALSE)),""))</f>
        <v/>
      </c>
      <c r="J176" s="256"/>
      <c r="K176" s="299" t="str">
        <f>IF($K$12="","",IFERROR(IF(Report!$D$4='!'!$HE$4,VLOOKUP(A176,Reference!$B$25:$H$390,5,FALSE),VLOOKUP(A176,Monitoring!$B$25:$H$390,5,FALSE)),""))</f>
        <v/>
      </c>
      <c r="L176" s="256"/>
      <c r="M176" s="299" t="str">
        <f>IF($M$12="","",IFERROR(IF(Report!$D$4='!'!$HE$4,VLOOKUP(A176,Reference!$B$25:$H$390,6,FALSE),VLOOKUP(A176,Monitoring!$B$25:$H$390,6,FALSE)),""))</f>
        <v/>
      </c>
      <c r="N176" s="256"/>
      <c r="O176" s="299" t="str">
        <f>IF($O$12="","",IFERROR(IF(Report!$D$4='!'!$HE$4,VLOOKUP(A176,Reference!$B$25:$H$390,7,FALSE),VLOOKUP(A176,Monitoring!$B$25:$H$390,7,FALSE)),""))</f>
        <v/>
      </c>
      <c r="P176" s="51"/>
      <c r="Q176" s="151" t="str">
        <f>IF(B176='!'!$GJ$15,'!'!$GJ$15,$Q$12)</f>
        <v>N</v>
      </c>
      <c r="S176" s="4" t="str">
        <f>IFERROR(ABS(T176),'!'!$GJ$15)</f>
        <v>N</v>
      </c>
      <c r="T176" s="84" t="str">
        <f>IFERROR(+G176-D176,'!'!$GJ$15)</f>
        <v>N</v>
      </c>
      <c r="U176" s="64" t="str">
        <f t="shared" si="5"/>
        <v>N</v>
      </c>
      <c r="W176" s="153" t="str">
        <f>IFERROR(I$10*I176,'!'!$GJ$15)</f>
        <v>N</v>
      </c>
      <c r="X176" s="153" t="str">
        <f>IFERROR(K$10*K176,'!'!$GJ$15)</f>
        <v>N</v>
      </c>
      <c r="Y176" s="153" t="str">
        <f>IFERROR(M$10*M176,'!'!$GJ$15)</f>
        <v>N</v>
      </c>
      <c r="Z176" s="153" t="str">
        <f>IFERROR(O$10*O177,'!'!$GJ$15)</f>
        <v>N</v>
      </c>
    </row>
    <row r="177" spans="1:26" x14ac:dyDescent="0.35">
      <c r="A177" s="4">
        <f t="shared" si="4"/>
        <v>153</v>
      </c>
      <c r="B177" s="286" t="str">
        <f>IFERROR(IF(Report!$D$4='!'!$HE$4,VLOOKUP(A177,Reference!$B$25:$H$390,2,FALSE),VLOOKUP(A177,Monitoring!$B$25:$H$390,2,FALSE)),'!'!$GJ$15)</f>
        <v>N</v>
      </c>
      <c r="C177" s="58" t="str">
        <f>Reference!A177</f>
        <v/>
      </c>
      <c r="D177" s="287" t="str">
        <f>IFERROR(IF(Report!$D$4='!'!$HE$4,VLOOKUP(A177,Reference!$B$25:$H$390,3,FALSE),VLOOKUP(A177,Monitoring!$B$25:$H$390,3,FALSE)),'!'!$GJ$15)</f>
        <v>N</v>
      </c>
      <c r="E177" s="285"/>
      <c r="F177" s="254"/>
      <c r="G177" s="151" t="str">
        <f>IF(D177='!'!$GJ$15,'!'!$GJ$15,(SUM(W177,X177,Y177,Z176,Q177)))</f>
        <v>N</v>
      </c>
      <c r="H177" s="51"/>
      <c r="I177" s="299" t="str">
        <f>IF($I$12="","",IFERROR(IF(Report!$D$4='!'!$HE$4,VLOOKUP(A177,Reference!$B$25:$H$390,4,FALSE),VLOOKUP(A177,Monitoring!$B$25:$H$390,4,FALSE)),""))</f>
        <v/>
      </c>
      <c r="J177" s="256"/>
      <c r="K177" s="299" t="str">
        <f>IF($K$12="","",IFERROR(IF(Report!$D$4='!'!$HE$4,VLOOKUP(A177,Reference!$B$25:$H$390,5,FALSE),VLOOKUP(A177,Monitoring!$B$25:$H$390,5,FALSE)),""))</f>
        <v/>
      </c>
      <c r="L177" s="256"/>
      <c r="M177" s="299" t="str">
        <f>IF($M$12="","",IFERROR(IF(Report!$D$4='!'!$HE$4,VLOOKUP(A177,Reference!$B$25:$H$390,6,FALSE),VLOOKUP(A177,Monitoring!$B$25:$H$390,6,FALSE)),""))</f>
        <v/>
      </c>
      <c r="N177" s="256"/>
      <c r="O177" s="299" t="str">
        <f>IF($O$12="","",IFERROR(IF(Report!$D$4='!'!$HE$4,VLOOKUP(A177,Reference!$B$25:$H$390,7,FALSE),VLOOKUP(A177,Monitoring!$B$25:$H$390,7,FALSE)),""))</f>
        <v/>
      </c>
      <c r="P177" s="51"/>
      <c r="Q177" s="151" t="str">
        <f>IF(B177='!'!$GJ$15,'!'!$GJ$15,$Q$12)</f>
        <v>N</v>
      </c>
      <c r="S177" s="4" t="str">
        <f>IFERROR(ABS(T177),'!'!$GJ$15)</f>
        <v>N</v>
      </c>
      <c r="T177" s="84" t="str">
        <f>IFERROR(+G177-D177,'!'!$GJ$15)</f>
        <v>N</v>
      </c>
      <c r="U177" s="64" t="str">
        <f t="shared" si="5"/>
        <v>N</v>
      </c>
      <c r="W177" s="153" t="str">
        <f>IFERROR(I$10*I177,'!'!$GJ$15)</f>
        <v>N</v>
      </c>
      <c r="X177" s="153" t="str">
        <f>IFERROR(K$10*K177,'!'!$GJ$15)</f>
        <v>N</v>
      </c>
      <c r="Y177" s="153" t="str">
        <f>IFERROR(M$10*M177,'!'!$GJ$15)</f>
        <v>N</v>
      </c>
      <c r="Z177" s="153" t="str">
        <f>IFERROR(O$10*O178,'!'!$GJ$15)</f>
        <v>N</v>
      </c>
    </row>
    <row r="178" spans="1:26" x14ac:dyDescent="0.35">
      <c r="A178" s="4">
        <f t="shared" si="4"/>
        <v>154</v>
      </c>
      <c r="B178" s="286" t="str">
        <f>IFERROR(IF(Report!$D$4='!'!$HE$4,VLOOKUP(A178,Reference!$B$25:$H$390,2,FALSE),VLOOKUP(A178,Monitoring!$B$25:$H$390,2,FALSE)),'!'!$GJ$15)</f>
        <v>N</v>
      </c>
      <c r="C178" s="58" t="str">
        <f>Reference!A178</f>
        <v/>
      </c>
      <c r="D178" s="287" t="str">
        <f>IFERROR(IF(Report!$D$4='!'!$HE$4,VLOOKUP(A178,Reference!$B$25:$H$390,3,FALSE),VLOOKUP(A178,Monitoring!$B$25:$H$390,3,FALSE)),'!'!$GJ$15)</f>
        <v>N</v>
      </c>
      <c r="E178" s="285"/>
      <c r="F178" s="254"/>
      <c r="G178" s="151" t="str">
        <f>IF(D178='!'!$GJ$15,'!'!$GJ$15,(SUM(W178,X178,Y178,Z177,Q178)))</f>
        <v>N</v>
      </c>
      <c r="H178" s="51"/>
      <c r="I178" s="299" t="str">
        <f>IF($I$12="","",IFERROR(IF(Report!$D$4='!'!$HE$4,VLOOKUP(A178,Reference!$B$25:$H$390,4,FALSE),VLOOKUP(A178,Monitoring!$B$25:$H$390,4,FALSE)),""))</f>
        <v/>
      </c>
      <c r="J178" s="256"/>
      <c r="K178" s="299" t="str">
        <f>IF($K$12="","",IFERROR(IF(Report!$D$4='!'!$HE$4,VLOOKUP(A178,Reference!$B$25:$H$390,5,FALSE),VLOOKUP(A178,Monitoring!$B$25:$H$390,5,FALSE)),""))</f>
        <v/>
      </c>
      <c r="L178" s="256"/>
      <c r="M178" s="299" t="str">
        <f>IF($M$12="","",IFERROR(IF(Report!$D$4='!'!$HE$4,VLOOKUP(A178,Reference!$B$25:$H$390,6,FALSE),VLOOKUP(A178,Monitoring!$B$25:$H$390,6,FALSE)),""))</f>
        <v/>
      </c>
      <c r="N178" s="256"/>
      <c r="O178" s="299" t="str">
        <f>IF($O$12="","",IFERROR(IF(Report!$D$4='!'!$HE$4,VLOOKUP(A178,Reference!$B$25:$H$390,7,FALSE),VLOOKUP(A178,Monitoring!$B$25:$H$390,7,FALSE)),""))</f>
        <v/>
      </c>
      <c r="P178" s="51"/>
      <c r="Q178" s="151" t="str">
        <f>IF(B178='!'!$GJ$15,'!'!$GJ$15,$Q$12)</f>
        <v>N</v>
      </c>
      <c r="S178" s="4" t="str">
        <f>IFERROR(ABS(T178),'!'!$GJ$15)</f>
        <v>N</v>
      </c>
      <c r="T178" s="84" t="str">
        <f>IFERROR(+G178-D178,'!'!$GJ$15)</f>
        <v>N</v>
      </c>
      <c r="U178" s="64" t="str">
        <f t="shared" si="5"/>
        <v>N</v>
      </c>
      <c r="W178" s="153" t="str">
        <f>IFERROR(I$10*I178,'!'!$GJ$15)</f>
        <v>N</v>
      </c>
      <c r="X178" s="153" t="str">
        <f>IFERROR(K$10*K178,'!'!$GJ$15)</f>
        <v>N</v>
      </c>
      <c r="Y178" s="153" t="str">
        <f>IFERROR(M$10*M178,'!'!$GJ$15)</f>
        <v>N</v>
      </c>
      <c r="Z178" s="153" t="str">
        <f>IFERROR(O$10*O179,'!'!$GJ$15)</f>
        <v>N</v>
      </c>
    </row>
    <row r="179" spans="1:26" x14ac:dyDescent="0.35">
      <c r="A179" s="4">
        <f t="shared" si="4"/>
        <v>155</v>
      </c>
      <c r="B179" s="286" t="str">
        <f>IFERROR(IF(Report!$D$4='!'!$HE$4,VLOOKUP(A179,Reference!$B$25:$H$390,2,FALSE),VLOOKUP(A179,Monitoring!$B$25:$H$390,2,FALSE)),'!'!$GJ$15)</f>
        <v>N</v>
      </c>
      <c r="C179" s="58" t="str">
        <f>Reference!A179</f>
        <v/>
      </c>
      <c r="D179" s="287" t="str">
        <f>IFERROR(IF(Report!$D$4='!'!$HE$4,VLOOKUP(A179,Reference!$B$25:$H$390,3,FALSE),VLOOKUP(A179,Monitoring!$B$25:$H$390,3,FALSE)),'!'!$GJ$15)</f>
        <v>N</v>
      </c>
      <c r="E179" s="285"/>
      <c r="F179" s="254"/>
      <c r="G179" s="151" t="str">
        <f>IF(D179='!'!$GJ$15,'!'!$GJ$15,(SUM(W179,X179,Y179,Z178,Q179)))</f>
        <v>N</v>
      </c>
      <c r="H179" s="51"/>
      <c r="I179" s="299" t="str">
        <f>IF($I$12="","",IFERROR(IF(Report!$D$4='!'!$HE$4,VLOOKUP(A179,Reference!$B$25:$H$390,4,FALSE),VLOOKUP(A179,Monitoring!$B$25:$H$390,4,FALSE)),""))</f>
        <v/>
      </c>
      <c r="J179" s="256"/>
      <c r="K179" s="299" t="str">
        <f>IF($K$12="","",IFERROR(IF(Report!$D$4='!'!$HE$4,VLOOKUP(A179,Reference!$B$25:$H$390,5,FALSE),VLOOKUP(A179,Monitoring!$B$25:$H$390,5,FALSE)),""))</f>
        <v/>
      </c>
      <c r="L179" s="256"/>
      <c r="M179" s="299" t="str">
        <f>IF($M$12="","",IFERROR(IF(Report!$D$4='!'!$HE$4,VLOOKUP(A179,Reference!$B$25:$H$390,6,FALSE),VLOOKUP(A179,Monitoring!$B$25:$H$390,6,FALSE)),""))</f>
        <v/>
      </c>
      <c r="N179" s="256"/>
      <c r="O179" s="299" t="str">
        <f>IF($O$12="","",IFERROR(IF(Report!$D$4='!'!$HE$4,VLOOKUP(A179,Reference!$B$25:$H$390,7,FALSE),VLOOKUP(A179,Monitoring!$B$25:$H$390,7,FALSE)),""))</f>
        <v/>
      </c>
      <c r="P179" s="51"/>
      <c r="Q179" s="151" t="str">
        <f>IF(B179='!'!$GJ$15,'!'!$GJ$15,$Q$12)</f>
        <v>N</v>
      </c>
      <c r="S179" s="4" t="str">
        <f>IFERROR(ABS(T179),'!'!$GJ$15)</f>
        <v>N</v>
      </c>
      <c r="T179" s="84" t="str">
        <f>IFERROR(+G179-D179,'!'!$GJ$15)</f>
        <v>N</v>
      </c>
      <c r="U179" s="64" t="str">
        <f t="shared" si="5"/>
        <v>N</v>
      </c>
      <c r="W179" s="153" t="str">
        <f>IFERROR(I$10*I179,'!'!$GJ$15)</f>
        <v>N</v>
      </c>
      <c r="X179" s="153" t="str">
        <f>IFERROR(K$10*K179,'!'!$GJ$15)</f>
        <v>N</v>
      </c>
      <c r="Y179" s="153" t="str">
        <f>IFERROR(M$10*M179,'!'!$GJ$15)</f>
        <v>N</v>
      </c>
      <c r="Z179" s="153" t="str">
        <f>IFERROR(O$10*O180,'!'!$GJ$15)</f>
        <v>N</v>
      </c>
    </row>
    <row r="180" spans="1:26" x14ac:dyDescent="0.35">
      <c r="A180" s="4">
        <f t="shared" si="4"/>
        <v>156</v>
      </c>
      <c r="B180" s="286" t="str">
        <f>IFERROR(IF(Report!$D$4='!'!$HE$4,VLOOKUP(A180,Reference!$B$25:$H$390,2,FALSE),VLOOKUP(A180,Monitoring!$B$25:$H$390,2,FALSE)),'!'!$GJ$15)</f>
        <v>N</v>
      </c>
      <c r="C180" s="58" t="str">
        <f>Reference!A180</f>
        <v/>
      </c>
      <c r="D180" s="287" t="str">
        <f>IFERROR(IF(Report!$D$4='!'!$HE$4,VLOOKUP(A180,Reference!$B$25:$H$390,3,FALSE),VLOOKUP(A180,Monitoring!$B$25:$H$390,3,FALSE)),'!'!$GJ$15)</f>
        <v>N</v>
      </c>
      <c r="E180" s="285"/>
      <c r="F180" s="254"/>
      <c r="G180" s="151" t="str">
        <f>IF(D180='!'!$GJ$15,'!'!$GJ$15,(SUM(W180,X180,Y180,Z179,Q180)))</f>
        <v>N</v>
      </c>
      <c r="H180" s="51"/>
      <c r="I180" s="299" t="str">
        <f>IF($I$12="","",IFERROR(IF(Report!$D$4='!'!$HE$4,VLOOKUP(A180,Reference!$B$25:$H$390,4,FALSE),VLOOKUP(A180,Monitoring!$B$25:$H$390,4,FALSE)),""))</f>
        <v/>
      </c>
      <c r="J180" s="256"/>
      <c r="K180" s="299" t="str">
        <f>IF($K$12="","",IFERROR(IF(Report!$D$4='!'!$HE$4,VLOOKUP(A180,Reference!$B$25:$H$390,5,FALSE),VLOOKUP(A180,Monitoring!$B$25:$H$390,5,FALSE)),""))</f>
        <v/>
      </c>
      <c r="L180" s="256"/>
      <c r="M180" s="299" t="str">
        <f>IF($M$12="","",IFERROR(IF(Report!$D$4='!'!$HE$4,VLOOKUP(A180,Reference!$B$25:$H$390,6,FALSE),VLOOKUP(A180,Monitoring!$B$25:$H$390,6,FALSE)),""))</f>
        <v/>
      </c>
      <c r="N180" s="256"/>
      <c r="O180" s="299" t="str">
        <f>IF($O$12="","",IFERROR(IF(Report!$D$4='!'!$HE$4,VLOOKUP(A180,Reference!$B$25:$H$390,7,FALSE),VLOOKUP(A180,Monitoring!$B$25:$H$390,7,FALSE)),""))</f>
        <v/>
      </c>
      <c r="P180" s="51"/>
      <c r="Q180" s="151" t="str">
        <f>IF(B180='!'!$GJ$15,'!'!$GJ$15,$Q$12)</f>
        <v>N</v>
      </c>
      <c r="S180" s="4" t="str">
        <f>IFERROR(ABS(T180),'!'!$GJ$15)</f>
        <v>N</v>
      </c>
      <c r="T180" s="84" t="str">
        <f>IFERROR(+G180-D180,'!'!$GJ$15)</f>
        <v>N</v>
      </c>
      <c r="U180" s="64" t="str">
        <f t="shared" si="5"/>
        <v>N</v>
      </c>
      <c r="W180" s="153" t="str">
        <f>IFERROR(I$10*I180,'!'!$GJ$15)</f>
        <v>N</v>
      </c>
      <c r="X180" s="153" t="str">
        <f>IFERROR(K$10*K180,'!'!$GJ$15)</f>
        <v>N</v>
      </c>
      <c r="Y180" s="153" t="str">
        <f>IFERROR(M$10*M180,'!'!$GJ$15)</f>
        <v>N</v>
      </c>
      <c r="Z180" s="153" t="str">
        <f>IFERROR(O$10*O181,'!'!$GJ$15)</f>
        <v>N</v>
      </c>
    </row>
    <row r="181" spans="1:26" x14ac:dyDescent="0.35">
      <c r="A181" s="4">
        <f t="shared" si="4"/>
        <v>157</v>
      </c>
      <c r="B181" s="286" t="str">
        <f>IFERROR(IF(Report!$D$4='!'!$HE$4,VLOOKUP(A181,Reference!$B$25:$H$390,2,FALSE),VLOOKUP(A181,Monitoring!$B$25:$H$390,2,FALSE)),'!'!$GJ$15)</f>
        <v>N</v>
      </c>
      <c r="C181" s="58" t="str">
        <f>Reference!A181</f>
        <v/>
      </c>
      <c r="D181" s="287" t="str">
        <f>IFERROR(IF(Report!$D$4='!'!$HE$4,VLOOKUP(A181,Reference!$B$25:$H$390,3,FALSE),VLOOKUP(A181,Monitoring!$B$25:$H$390,3,FALSE)),'!'!$GJ$15)</f>
        <v>N</v>
      </c>
      <c r="E181" s="285"/>
      <c r="F181" s="254"/>
      <c r="G181" s="151" t="str">
        <f>IF(D181='!'!$GJ$15,'!'!$GJ$15,(SUM(W181,X181,Y181,Z180,Q181)))</f>
        <v>N</v>
      </c>
      <c r="H181" s="51"/>
      <c r="I181" s="299" t="str">
        <f>IF($I$12="","",IFERROR(IF(Report!$D$4='!'!$HE$4,VLOOKUP(A181,Reference!$B$25:$H$390,4,FALSE),VLOOKUP(A181,Monitoring!$B$25:$H$390,4,FALSE)),""))</f>
        <v/>
      </c>
      <c r="J181" s="256"/>
      <c r="K181" s="299" t="str">
        <f>IF($K$12="","",IFERROR(IF(Report!$D$4='!'!$HE$4,VLOOKUP(A181,Reference!$B$25:$H$390,5,FALSE),VLOOKUP(A181,Monitoring!$B$25:$H$390,5,FALSE)),""))</f>
        <v/>
      </c>
      <c r="L181" s="256"/>
      <c r="M181" s="299" t="str">
        <f>IF($M$12="","",IFERROR(IF(Report!$D$4='!'!$HE$4,VLOOKUP(A181,Reference!$B$25:$H$390,6,FALSE),VLOOKUP(A181,Monitoring!$B$25:$H$390,6,FALSE)),""))</f>
        <v/>
      </c>
      <c r="N181" s="256"/>
      <c r="O181" s="299" t="str">
        <f>IF($O$12="","",IFERROR(IF(Report!$D$4='!'!$HE$4,VLOOKUP(A181,Reference!$B$25:$H$390,7,FALSE),VLOOKUP(A181,Monitoring!$B$25:$H$390,7,FALSE)),""))</f>
        <v/>
      </c>
      <c r="P181" s="51"/>
      <c r="Q181" s="151" t="str">
        <f>IF(B181='!'!$GJ$15,'!'!$GJ$15,$Q$12)</f>
        <v>N</v>
      </c>
      <c r="S181" s="4" t="str">
        <f>IFERROR(ABS(T181),'!'!$GJ$15)</f>
        <v>N</v>
      </c>
      <c r="T181" s="84" t="str">
        <f>IFERROR(+G181-D181,'!'!$GJ$15)</f>
        <v>N</v>
      </c>
      <c r="U181" s="64" t="str">
        <f t="shared" si="5"/>
        <v>N</v>
      </c>
      <c r="W181" s="153" t="str">
        <f>IFERROR(I$10*I181,'!'!$GJ$15)</f>
        <v>N</v>
      </c>
      <c r="X181" s="153" t="str">
        <f>IFERROR(K$10*K181,'!'!$GJ$15)</f>
        <v>N</v>
      </c>
      <c r="Y181" s="153" t="str">
        <f>IFERROR(M$10*M181,'!'!$GJ$15)</f>
        <v>N</v>
      </c>
      <c r="Z181" s="153" t="str">
        <f>IFERROR(O$10*O182,'!'!$GJ$15)</f>
        <v>N</v>
      </c>
    </row>
    <row r="182" spans="1:26" x14ac:dyDescent="0.35">
      <c r="A182" s="4">
        <f t="shared" si="4"/>
        <v>158</v>
      </c>
      <c r="B182" s="286" t="str">
        <f>IFERROR(IF(Report!$D$4='!'!$HE$4,VLOOKUP(A182,Reference!$B$25:$H$390,2,FALSE),VLOOKUP(A182,Monitoring!$B$25:$H$390,2,FALSE)),'!'!$GJ$15)</f>
        <v>N</v>
      </c>
      <c r="C182" s="58" t="str">
        <f>Reference!A182</f>
        <v/>
      </c>
      <c r="D182" s="287" t="str">
        <f>IFERROR(IF(Report!$D$4='!'!$HE$4,VLOOKUP(A182,Reference!$B$25:$H$390,3,FALSE),VLOOKUP(A182,Monitoring!$B$25:$H$390,3,FALSE)),'!'!$GJ$15)</f>
        <v>N</v>
      </c>
      <c r="E182" s="285"/>
      <c r="F182" s="254"/>
      <c r="G182" s="151" t="str">
        <f>IF(D182='!'!$GJ$15,'!'!$GJ$15,(SUM(W182,X182,Y182,Z181,Q182)))</f>
        <v>N</v>
      </c>
      <c r="H182" s="51"/>
      <c r="I182" s="299" t="str">
        <f>IF($I$12="","",IFERROR(IF(Report!$D$4='!'!$HE$4,VLOOKUP(A182,Reference!$B$25:$H$390,4,FALSE),VLOOKUP(A182,Monitoring!$B$25:$H$390,4,FALSE)),""))</f>
        <v/>
      </c>
      <c r="J182" s="256"/>
      <c r="K182" s="299" t="str">
        <f>IF($K$12="","",IFERROR(IF(Report!$D$4='!'!$HE$4,VLOOKUP(A182,Reference!$B$25:$H$390,5,FALSE),VLOOKUP(A182,Monitoring!$B$25:$H$390,5,FALSE)),""))</f>
        <v/>
      </c>
      <c r="L182" s="256"/>
      <c r="M182" s="299" t="str">
        <f>IF($M$12="","",IFERROR(IF(Report!$D$4='!'!$HE$4,VLOOKUP(A182,Reference!$B$25:$H$390,6,FALSE),VLOOKUP(A182,Monitoring!$B$25:$H$390,6,FALSE)),""))</f>
        <v/>
      </c>
      <c r="N182" s="256"/>
      <c r="O182" s="299" t="str">
        <f>IF($O$12="","",IFERROR(IF(Report!$D$4='!'!$HE$4,VLOOKUP(A182,Reference!$B$25:$H$390,7,FALSE),VLOOKUP(A182,Monitoring!$B$25:$H$390,7,FALSE)),""))</f>
        <v/>
      </c>
      <c r="P182" s="51"/>
      <c r="Q182" s="151" t="str">
        <f>IF(B182='!'!$GJ$15,'!'!$GJ$15,$Q$12)</f>
        <v>N</v>
      </c>
      <c r="S182" s="4" t="str">
        <f>IFERROR(ABS(T182),'!'!$GJ$15)</f>
        <v>N</v>
      </c>
      <c r="T182" s="84" t="str">
        <f>IFERROR(+G182-D182,'!'!$GJ$15)</f>
        <v>N</v>
      </c>
      <c r="U182" s="64" t="str">
        <f t="shared" si="5"/>
        <v>N</v>
      </c>
      <c r="W182" s="153" t="str">
        <f>IFERROR(I$10*I182,'!'!$GJ$15)</f>
        <v>N</v>
      </c>
      <c r="X182" s="153" t="str">
        <f>IFERROR(K$10*K182,'!'!$GJ$15)</f>
        <v>N</v>
      </c>
      <c r="Y182" s="153" t="str">
        <f>IFERROR(M$10*M182,'!'!$GJ$15)</f>
        <v>N</v>
      </c>
      <c r="Z182" s="153" t="str">
        <f>IFERROR(O$10*O183,'!'!$GJ$15)</f>
        <v>N</v>
      </c>
    </row>
    <row r="183" spans="1:26" x14ac:dyDescent="0.35">
      <c r="A183" s="4">
        <f t="shared" si="4"/>
        <v>159</v>
      </c>
      <c r="B183" s="286" t="str">
        <f>IFERROR(IF(Report!$D$4='!'!$HE$4,VLOOKUP(A183,Reference!$B$25:$H$390,2,FALSE),VLOOKUP(A183,Monitoring!$B$25:$H$390,2,FALSE)),'!'!$GJ$15)</f>
        <v>N</v>
      </c>
      <c r="C183" s="58" t="str">
        <f>Reference!A183</f>
        <v/>
      </c>
      <c r="D183" s="287" t="str">
        <f>IFERROR(IF(Report!$D$4='!'!$HE$4,VLOOKUP(A183,Reference!$B$25:$H$390,3,FALSE),VLOOKUP(A183,Monitoring!$B$25:$H$390,3,FALSE)),'!'!$GJ$15)</f>
        <v>N</v>
      </c>
      <c r="E183" s="285"/>
      <c r="F183" s="254"/>
      <c r="G183" s="151" t="str">
        <f>IF(D183='!'!$GJ$15,'!'!$GJ$15,(SUM(W183,X183,Y183,Z182,Q183)))</f>
        <v>N</v>
      </c>
      <c r="H183" s="51"/>
      <c r="I183" s="299" t="str">
        <f>IF($I$12="","",IFERROR(IF(Report!$D$4='!'!$HE$4,VLOOKUP(A183,Reference!$B$25:$H$390,4,FALSE),VLOOKUP(A183,Monitoring!$B$25:$H$390,4,FALSE)),""))</f>
        <v/>
      </c>
      <c r="J183" s="256"/>
      <c r="K183" s="299" t="str">
        <f>IF($K$12="","",IFERROR(IF(Report!$D$4='!'!$HE$4,VLOOKUP(A183,Reference!$B$25:$H$390,5,FALSE),VLOOKUP(A183,Monitoring!$B$25:$H$390,5,FALSE)),""))</f>
        <v/>
      </c>
      <c r="L183" s="256"/>
      <c r="M183" s="299" t="str">
        <f>IF($M$12="","",IFERROR(IF(Report!$D$4='!'!$HE$4,VLOOKUP(A183,Reference!$B$25:$H$390,6,FALSE),VLOOKUP(A183,Monitoring!$B$25:$H$390,6,FALSE)),""))</f>
        <v/>
      </c>
      <c r="N183" s="256"/>
      <c r="O183" s="299" t="str">
        <f>IF($O$12="","",IFERROR(IF(Report!$D$4='!'!$HE$4,VLOOKUP(A183,Reference!$B$25:$H$390,7,FALSE),VLOOKUP(A183,Monitoring!$B$25:$H$390,7,FALSE)),""))</f>
        <v/>
      </c>
      <c r="P183" s="51"/>
      <c r="Q183" s="151" t="str">
        <f>IF(B183='!'!$GJ$15,'!'!$GJ$15,$Q$12)</f>
        <v>N</v>
      </c>
      <c r="S183" s="4" t="str">
        <f>IFERROR(ABS(T183),'!'!$GJ$15)</f>
        <v>N</v>
      </c>
      <c r="T183" s="84" t="str">
        <f>IFERROR(+G183-D183,'!'!$GJ$15)</f>
        <v>N</v>
      </c>
      <c r="U183" s="64" t="str">
        <f t="shared" si="5"/>
        <v>N</v>
      </c>
      <c r="W183" s="153" t="str">
        <f>IFERROR(I$10*I183,'!'!$GJ$15)</f>
        <v>N</v>
      </c>
      <c r="X183" s="153" t="str">
        <f>IFERROR(K$10*K183,'!'!$GJ$15)</f>
        <v>N</v>
      </c>
      <c r="Y183" s="153" t="str">
        <f>IFERROR(M$10*M183,'!'!$GJ$15)</f>
        <v>N</v>
      </c>
      <c r="Z183" s="153" t="str">
        <f>IFERROR(O$10*O184,'!'!$GJ$15)</f>
        <v>N</v>
      </c>
    </row>
    <row r="184" spans="1:26" x14ac:dyDescent="0.35">
      <c r="A184" s="4">
        <f t="shared" si="4"/>
        <v>160</v>
      </c>
      <c r="B184" s="286" t="str">
        <f>IFERROR(IF(Report!$D$4='!'!$HE$4,VLOOKUP(A184,Reference!$B$25:$H$390,2,FALSE),VLOOKUP(A184,Monitoring!$B$25:$H$390,2,FALSE)),'!'!$GJ$15)</f>
        <v>N</v>
      </c>
      <c r="C184" s="58" t="str">
        <f>Reference!A184</f>
        <v/>
      </c>
      <c r="D184" s="287" t="str">
        <f>IFERROR(IF(Report!$D$4='!'!$HE$4,VLOOKUP(A184,Reference!$B$25:$H$390,3,FALSE),VLOOKUP(A184,Monitoring!$B$25:$H$390,3,FALSE)),'!'!$GJ$15)</f>
        <v>N</v>
      </c>
      <c r="E184" s="285"/>
      <c r="F184" s="254"/>
      <c r="G184" s="151" t="str">
        <f>IF(D184='!'!$GJ$15,'!'!$GJ$15,(SUM(W184,X184,Y184,Z183,Q184)))</f>
        <v>N</v>
      </c>
      <c r="H184" s="51"/>
      <c r="I184" s="299" t="str">
        <f>IF($I$12="","",IFERROR(IF(Report!$D$4='!'!$HE$4,VLOOKUP(A184,Reference!$B$25:$H$390,4,FALSE),VLOOKUP(A184,Monitoring!$B$25:$H$390,4,FALSE)),""))</f>
        <v/>
      </c>
      <c r="J184" s="256"/>
      <c r="K184" s="299" t="str">
        <f>IF($K$12="","",IFERROR(IF(Report!$D$4='!'!$HE$4,VLOOKUP(A184,Reference!$B$25:$H$390,5,FALSE),VLOOKUP(A184,Monitoring!$B$25:$H$390,5,FALSE)),""))</f>
        <v/>
      </c>
      <c r="L184" s="256"/>
      <c r="M184" s="299" t="str">
        <f>IF($M$12="","",IFERROR(IF(Report!$D$4='!'!$HE$4,VLOOKUP(A184,Reference!$B$25:$H$390,6,FALSE),VLOOKUP(A184,Monitoring!$B$25:$H$390,6,FALSE)),""))</f>
        <v/>
      </c>
      <c r="N184" s="256"/>
      <c r="O184" s="299" t="str">
        <f>IF($O$12="","",IFERROR(IF(Report!$D$4='!'!$HE$4,VLOOKUP(A184,Reference!$B$25:$H$390,7,FALSE),VLOOKUP(A184,Monitoring!$B$25:$H$390,7,FALSE)),""))</f>
        <v/>
      </c>
      <c r="P184" s="51"/>
      <c r="Q184" s="151" t="str">
        <f>IF(B184='!'!$GJ$15,'!'!$GJ$15,$Q$12)</f>
        <v>N</v>
      </c>
      <c r="S184" s="4" t="str">
        <f>IFERROR(ABS(T184),'!'!$GJ$15)</f>
        <v>N</v>
      </c>
      <c r="T184" s="84" t="str">
        <f>IFERROR(+G184-D184,'!'!$GJ$15)</f>
        <v>N</v>
      </c>
      <c r="U184" s="64" t="str">
        <f t="shared" si="5"/>
        <v>N</v>
      </c>
      <c r="W184" s="153" t="str">
        <f>IFERROR(I$10*I184,'!'!$GJ$15)</f>
        <v>N</v>
      </c>
      <c r="X184" s="153" t="str">
        <f>IFERROR(K$10*K184,'!'!$GJ$15)</f>
        <v>N</v>
      </c>
      <c r="Y184" s="153" t="str">
        <f>IFERROR(M$10*M184,'!'!$GJ$15)</f>
        <v>N</v>
      </c>
      <c r="Z184" s="153" t="str">
        <f>IFERROR(O$10*O185,'!'!$GJ$15)</f>
        <v>N</v>
      </c>
    </row>
    <row r="185" spans="1:26" x14ac:dyDescent="0.35">
      <c r="A185" s="4">
        <f t="shared" si="4"/>
        <v>161</v>
      </c>
      <c r="B185" s="286" t="str">
        <f>IFERROR(IF(Report!$D$4='!'!$HE$4,VLOOKUP(A185,Reference!$B$25:$H$390,2,FALSE),VLOOKUP(A185,Monitoring!$B$25:$H$390,2,FALSE)),'!'!$GJ$15)</f>
        <v>N</v>
      </c>
      <c r="C185" s="58" t="str">
        <f>Reference!A185</f>
        <v/>
      </c>
      <c r="D185" s="287" t="str">
        <f>IFERROR(IF(Report!$D$4='!'!$HE$4,VLOOKUP(A185,Reference!$B$25:$H$390,3,FALSE),VLOOKUP(A185,Monitoring!$B$25:$H$390,3,FALSE)),'!'!$GJ$15)</f>
        <v>N</v>
      </c>
      <c r="E185" s="285"/>
      <c r="F185" s="254"/>
      <c r="G185" s="151" t="str">
        <f>IF(D185='!'!$GJ$15,'!'!$GJ$15,(SUM(W185,X185,Y185,Z184,Q185)))</f>
        <v>N</v>
      </c>
      <c r="H185" s="51"/>
      <c r="I185" s="299" t="str">
        <f>IF($I$12="","",IFERROR(IF(Report!$D$4='!'!$HE$4,VLOOKUP(A185,Reference!$B$25:$H$390,4,FALSE),VLOOKUP(A185,Monitoring!$B$25:$H$390,4,FALSE)),""))</f>
        <v/>
      </c>
      <c r="J185" s="256"/>
      <c r="K185" s="299" t="str">
        <f>IF($K$12="","",IFERROR(IF(Report!$D$4='!'!$HE$4,VLOOKUP(A185,Reference!$B$25:$H$390,5,FALSE),VLOOKUP(A185,Monitoring!$B$25:$H$390,5,FALSE)),""))</f>
        <v/>
      </c>
      <c r="L185" s="256"/>
      <c r="M185" s="299" t="str">
        <f>IF($M$12="","",IFERROR(IF(Report!$D$4='!'!$HE$4,VLOOKUP(A185,Reference!$B$25:$H$390,6,FALSE),VLOOKUP(A185,Monitoring!$B$25:$H$390,6,FALSE)),""))</f>
        <v/>
      </c>
      <c r="N185" s="256"/>
      <c r="O185" s="299" t="str">
        <f>IF($O$12="","",IFERROR(IF(Report!$D$4='!'!$HE$4,VLOOKUP(A185,Reference!$B$25:$H$390,7,FALSE),VLOOKUP(A185,Monitoring!$B$25:$H$390,7,FALSE)),""))</f>
        <v/>
      </c>
      <c r="P185" s="51"/>
      <c r="Q185" s="151" t="str">
        <f>IF(B185='!'!$GJ$15,'!'!$GJ$15,$Q$12)</f>
        <v>N</v>
      </c>
      <c r="S185" s="4" t="str">
        <f>IFERROR(ABS(T185),'!'!$GJ$15)</f>
        <v>N</v>
      </c>
      <c r="T185" s="84" t="str">
        <f>IFERROR(+G185-D185,'!'!$GJ$15)</f>
        <v>N</v>
      </c>
      <c r="U185" s="64" t="str">
        <f t="shared" si="5"/>
        <v>N</v>
      </c>
      <c r="W185" s="153" t="str">
        <f>IFERROR(I$10*I185,'!'!$GJ$15)</f>
        <v>N</v>
      </c>
      <c r="X185" s="153" t="str">
        <f>IFERROR(K$10*K185,'!'!$GJ$15)</f>
        <v>N</v>
      </c>
      <c r="Y185" s="153" t="str">
        <f>IFERROR(M$10*M185,'!'!$GJ$15)</f>
        <v>N</v>
      </c>
      <c r="Z185" s="153" t="str">
        <f>IFERROR(O$10*O186,'!'!$GJ$15)</f>
        <v>N</v>
      </c>
    </row>
    <row r="186" spans="1:26" x14ac:dyDescent="0.35">
      <c r="A186" s="4">
        <f t="shared" si="4"/>
        <v>162</v>
      </c>
      <c r="B186" s="286" t="str">
        <f>IFERROR(IF(Report!$D$4='!'!$HE$4,VLOOKUP(A186,Reference!$B$25:$H$390,2,FALSE),VLOOKUP(A186,Monitoring!$B$25:$H$390,2,FALSE)),'!'!$GJ$15)</f>
        <v>N</v>
      </c>
      <c r="C186" s="58" t="str">
        <f>Reference!A186</f>
        <v/>
      </c>
      <c r="D186" s="287" t="str">
        <f>IFERROR(IF(Report!$D$4='!'!$HE$4,VLOOKUP(A186,Reference!$B$25:$H$390,3,FALSE),VLOOKUP(A186,Monitoring!$B$25:$H$390,3,FALSE)),'!'!$GJ$15)</f>
        <v>N</v>
      </c>
      <c r="E186" s="285"/>
      <c r="F186" s="254"/>
      <c r="G186" s="151" t="str">
        <f>IF(D186='!'!$GJ$15,'!'!$GJ$15,(SUM(W186,X186,Y186,Z185,Q186)))</f>
        <v>N</v>
      </c>
      <c r="H186" s="51"/>
      <c r="I186" s="299" t="str">
        <f>IF($I$12="","",IFERROR(IF(Report!$D$4='!'!$HE$4,VLOOKUP(A186,Reference!$B$25:$H$390,4,FALSE),VLOOKUP(A186,Monitoring!$B$25:$H$390,4,FALSE)),""))</f>
        <v/>
      </c>
      <c r="J186" s="256"/>
      <c r="K186" s="299" t="str">
        <f>IF($K$12="","",IFERROR(IF(Report!$D$4='!'!$HE$4,VLOOKUP(A186,Reference!$B$25:$H$390,5,FALSE),VLOOKUP(A186,Monitoring!$B$25:$H$390,5,FALSE)),""))</f>
        <v/>
      </c>
      <c r="L186" s="256"/>
      <c r="M186" s="299" t="str">
        <f>IF($M$12="","",IFERROR(IF(Report!$D$4='!'!$HE$4,VLOOKUP(A186,Reference!$B$25:$H$390,6,FALSE),VLOOKUP(A186,Monitoring!$B$25:$H$390,6,FALSE)),""))</f>
        <v/>
      </c>
      <c r="N186" s="256"/>
      <c r="O186" s="299" t="str">
        <f>IF($O$12="","",IFERROR(IF(Report!$D$4='!'!$HE$4,VLOOKUP(A186,Reference!$B$25:$H$390,7,FALSE),VLOOKUP(A186,Monitoring!$B$25:$H$390,7,FALSE)),""))</f>
        <v/>
      </c>
      <c r="P186" s="51"/>
      <c r="Q186" s="151" t="str">
        <f>IF(B186='!'!$GJ$15,'!'!$GJ$15,$Q$12)</f>
        <v>N</v>
      </c>
      <c r="S186" s="4" t="str">
        <f>IFERROR(ABS(T186),'!'!$GJ$15)</f>
        <v>N</v>
      </c>
      <c r="T186" s="84" t="str">
        <f>IFERROR(+G186-D186,'!'!$GJ$15)</f>
        <v>N</v>
      </c>
      <c r="U186" s="64" t="str">
        <f t="shared" si="5"/>
        <v>N</v>
      </c>
      <c r="W186" s="153" t="str">
        <f>IFERROR(I$10*I186,'!'!$GJ$15)</f>
        <v>N</v>
      </c>
      <c r="X186" s="153" t="str">
        <f>IFERROR(K$10*K186,'!'!$GJ$15)</f>
        <v>N</v>
      </c>
      <c r="Y186" s="153" t="str">
        <f>IFERROR(M$10*M186,'!'!$GJ$15)</f>
        <v>N</v>
      </c>
      <c r="Z186" s="153" t="str">
        <f>IFERROR(O$10*O187,'!'!$GJ$15)</f>
        <v>N</v>
      </c>
    </row>
    <row r="187" spans="1:26" x14ac:dyDescent="0.35">
      <c r="A187" s="4">
        <f t="shared" si="4"/>
        <v>163</v>
      </c>
      <c r="B187" s="286" t="str">
        <f>IFERROR(IF(Report!$D$4='!'!$HE$4,VLOOKUP(A187,Reference!$B$25:$H$390,2,FALSE),VLOOKUP(A187,Monitoring!$B$25:$H$390,2,FALSE)),'!'!$GJ$15)</f>
        <v>N</v>
      </c>
      <c r="C187" s="58" t="str">
        <f>Reference!A187</f>
        <v/>
      </c>
      <c r="D187" s="287" t="str">
        <f>IFERROR(IF(Report!$D$4='!'!$HE$4,VLOOKUP(A187,Reference!$B$25:$H$390,3,FALSE),VLOOKUP(A187,Monitoring!$B$25:$H$390,3,FALSE)),'!'!$GJ$15)</f>
        <v>N</v>
      </c>
      <c r="E187" s="285"/>
      <c r="F187" s="254"/>
      <c r="G187" s="151" t="str">
        <f>IF(D187='!'!$GJ$15,'!'!$GJ$15,(SUM(W187,X187,Y187,Z186,Q187)))</f>
        <v>N</v>
      </c>
      <c r="H187" s="51"/>
      <c r="I187" s="299" t="str">
        <f>IF($I$12="","",IFERROR(IF(Report!$D$4='!'!$HE$4,VLOOKUP(A187,Reference!$B$25:$H$390,4,FALSE),VLOOKUP(A187,Monitoring!$B$25:$H$390,4,FALSE)),""))</f>
        <v/>
      </c>
      <c r="J187" s="256"/>
      <c r="K187" s="299" t="str">
        <f>IF($K$12="","",IFERROR(IF(Report!$D$4='!'!$HE$4,VLOOKUP(A187,Reference!$B$25:$H$390,5,FALSE),VLOOKUP(A187,Monitoring!$B$25:$H$390,5,FALSE)),""))</f>
        <v/>
      </c>
      <c r="L187" s="256"/>
      <c r="M187" s="299" t="str">
        <f>IF($M$12="","",IFERROR(IF(Report!$D$4='!'!$HE$4,VLOOKUP(A187,Reference!$B$25:$H$390,6,FALSE),VLOOKUP(A187,Monitoring!$B$25:$H$390,6,FALSE)),""))</f>
        <v/>
      </c>
      <c r="N187" s="256"/>
      <c r="O187" s="299" t="str">
        <f>IF($O$12="","",IFERROR(IF(Report!$D$4='!'!$HE$4,VLOOKUP(A187,Reference!$B$25:$H$390,7,FALSE),VLOOKUP(A187,Monitoring!$B$25:$H$390,7,FALSE)),""))</f>
        <v/>
      </c>
      <c r="P187" s="51"/>
      <c r="Q187" s="151" t="str">
        <f>IF(B187='!'!$GJ$15,'!'!$GJ$15,$Q$12)</f>
        <v>N</v>
      </c>
      <c r="S187" s="4" t="str">
        <f>IFERROR(ABS(T187),'!'!$GJ$15)</f>
        <v>N</v>
      </c>
      <c r="T187" s="84" t="str">
        <f>IFERROR(+G187-D187,'!'!$GJ$15)</f>
        <v>N</v>
      </c>
      <c r="U187" s="64" t="str">
        <f t="shared" si="5"/>
        <v>N</v>
      </c>
      <c r="W187" s="153" t="str">
        <f>IFERROR(I$10*I187,'!'!$GJ$15)</f>
        <v>N</v>
      </c>
      <c r="X187" s="153" t="str">
        <f>IFERROR(K$10*K187,'!'!$GJ$15)</f>
        <v>N</v>
      </c>
      <c r="Y187" s="153" t="str">
        <f>IFERROR(M$10*M187,'!'!$GJ$15)</f>
        <v>N</v>
      </c>
      <c r="Z187" s="153" t="str">
        <f>IFERROR(O$10*O188,'!'!$GJ$15)</f>
        <v>N</v>
      </c>
    </row>
    <row r="188" spans="1:26" x14ac:dyDescent="0.35">
      <c r="A188" s="4">
        <f t="shared" si="4"/>
        <v>164</v>
      </c>
      <c r="B188" s="286" t="str">
        <f>IFERROR(IF(Report!$D$4='!'!$HE$4,VLOOKUP(A188,Reference!$B$25:$H$390,2,FALSE),VLOOKUP(A188,Monitoring!$B$25:$H$390,2,FALSE)),'!'!$GJ$15)</f>
        <v>N</v>
      </c>
      <c r="C188" s="58" t="str">
        <f>Reference!A188</f>
        <v/>
      </c>
      <c r="D188" s="287" t="str">
        <f>IFERROR(IF(Report!$D$4='!'!$HE$4,VLOOKUP(A188,Reference!$B$25:$H$390,3,FALSE),VLOOKUP(A188,Monitoring!$B$25:$H$390,3,FALSE)),'!'!$GJ$15)</f>
        <v>N</v>
      </c>
      <c r="E188" s="285"/>
      <c r="F188" s="254"/>
      <c r="G188" s="151" t="str">
        <f>IF(D188='!'!$GJ$15,'!'!$GJ$15,(SUM(W188,X188,Y188,Z187,Q188)))</f>
        <v>N</v>
      </c>
      <c r="H188" s="51"/>
      <c r="I188" s="299" t="str">
        <f>IF($I$12="","",IFERROR(IF(Report!$D$4='!'!$HE$4,VLOOKUP(A188,Reference!$B$25:$H$390,4,FALSE),VLOOKUP(A188,Monitoring!$B$25:$H$390,4,FALSE)),""))</f>
        <v/>
      </c>
      <c r="J188" s="256"/>
      <c r="K188" s="299" t="str">
        <f>IF($K$12="","",IFERROR(IF(Report!$D$4='!'!$HE$4,VLOOKUP(A188,Reference!$B$25:$H$390,5,FALSE),VLOOKUP(A188,Monitoring!$B$25:$H$390,5,FALSE)),""))</f>
        <v/>
      </c>
      <c r="L188" s="256"/>
      <c r="M188" s="299" t="str">
        <f>IF($M$12="","",IFERROR(IF(Report!$D$4='!'!$HE$4,VLOOKUP(A188,Reference!$B$25:$H$390,6,FALSE),VLOOKUP(A188,Monitoring!$B$25:$H$390,6,FALSE)),""))</f>
        <v/>
      </c>
      <c r="N188" s="256"/>
      <c r="O188" s="299" t="str">
        <f>IF($O$12="","",IFERROR(IF(Report!$D$4='!'!$HE$4,VLOOKUP(A188,Reference!$B$25:$H$390,7,FALSE),VLOOKUP(A188,Monitoring!$B$25:$H$390,7,FALSE)),""))</f>
        <v/>
      </c>
      <c r="P188" s="51"/>
      <c r="Q188" s="151" t="str">
        <f>IF(B188='!'!$GJ$15,'!'!$GJ$15,$Q$12)</f>
        <v>N</v>
      </c>
      <c r="S188" s="4" t="str">
        <f>IFERROR(ABS(T188),'!'!$GJ$15)</f>
        <v>N</v>
      </c>
      <c r="T188" s="84" t="str">
        <f>IFERROR(+G188-D188,'!'!$GJ$15)</f>
        <v>N</v>
      </c>
      <c r="U188" s="64" t="str">
        <f t="shared" si="5"/>
        <v>N</v>
      </c>
      <c r="W188" s="153" t="str">
        <f>IFERROR(I$10*I188,'!'!$GJ$15)</f>
        <v>N</v>
      </c>
      <c r="X188" s="153" t="str">
        <f>IFERROR(K$10*K188,'!'!$GJ$15)</f>
        <v>N</v>
      </c>
      <c r="Y188" s="153" t="str">
        <f>IFERROR(M$10*M188,'!'!$GJ$15)</f>
        <v>N</v>
      </c>
      <c r="Z188" s="153" t="str">
        <f>IFERROR(O$10*O189,'!'!$GJ$15)</f>
        <v>N</v>
      </c>
    </row>
    <row r="189" spans="1:26" x14ac:dyDescent="0.35">
      <c r="A189" s="4">
        <f t="shared" si="4"/>
        <v>165</v>
      </c>
      <c r="B189" s="286" t="str">
        <f>IFERROR(IF(Report!$D$4='!'!$HE$4,VLOOKUP(A189,Reference!$B$25:$H$390,2,FALSE),VLOOKUP(A189,Monitoring!$B$25:$H$390,2,FALSE)),'!'!$GJ$15)</f>
        <v>N</v>
      </c>
      <c r="C189" s="58" t="str">
        <f>Reference!A189</f>
        <v/>
      </c>
      <c r="D189" s="287" t="str">
        <f>IFERROR(IF(Report!$D$4='!'!$HE$4,VLOOKUP(A189,Reference!$B$25:$H$390,3,FALSE),VLOOKUP(A189,Monitoring!$B$25:$H$390,3,FALSE)),'!'!$GJ$15)</f>
        <v>N</v>
      </c>
      <c r="E189" s="285"/>
      <c r="F189" s="254"/>
      <c r="G189" s="151" t="str">
        <f>IF(D189='!'!$GJ$15,'!'!$GJ$15,(SUM(W189,X189,Y189,Z188,Q189)))</f>
        <v>N</v>
      </c>
      <c r="H189" s="51"/>
      <c r="I189" s="299" t="str">
        <f>IF($I$12="","",IFERROR(IF(Report!$D$4='!'!$HE$4,VLOOKUP(A189,Reference!$B$25:$H$390,4,FALSE),VLOOKUP(A189,Monitoring!$B$25:$H$390,4,FALSE)),""))</f>
        <v/>
      </c>
      <c r="J189" s="256"/>
      <c r="K189" s="299" t="str">
        <f>IF($K$12="","",IFERROR(IF(Report!$D$4='!'!$HE$4,VLOOKUP(A189,Reference!$B$25:$H$390,5,FALSE),VLOOKUP(A189,Monitoring!$B$25:$H$390,5,FALSE)),""))</f>
        <v/>
      </c>
      <c r="L189" s="256"/>
      <c r="M189" s="299" t="str">
        <f>IF($M$12="","",IFERROR(IF(Report!$D$4='!'!$HE$4,VLOOKUP(A189,Reference!$B$25:$H$390,6,FALSE),VLOOKUP(A189,Monitoring!$B$25:$H$390,6,FALSE)),""))</f>
        <v/>
      </c>
      <c r="N189" s="256"/>
      <c r="O189" s="299" t="str">
        <f>IF($O$12="","",IFERROR(IF(Report!$D$4='!'!$HE$4,VLOOKUP(A189,Reference!$B$25:$H$390,7,FALSE),VLOOKUP(A189,Monitoring!$B$25:$H$390,7,FALSE)),""))</f>
        <v/>
      </c>
      <c r="P189" s="51"/>
      <c r="Q189" s="151" t="str">
        <f>IF(B189='!'!$GJ$15,'!'!$GJ$15,$Q$12)</f>
        <v>N</v>
      </c>
      <c r="S189" s="4" t="str">
        <f>IFERROR(ABS(T189),'!'!$GJ$15)</f>
        <v>N</v>
      </c>
      <c r="T189" s="84" t="str">
        <f>IFERROR(+G189-D189,'!'!$GJ$15)</f>
        <v>N</v>
      </c>
      <c r="U189" s="64" t="str">
        <f t="shared" si="5"/>
        <v>N</v>
      </c>
      <c r="W189" s="153" t="str">
        <f>IFERROR(I$10*I189,'!'!$GJ$15)</f>
        <v>N</v>
      </c>
      <c r="X189" s="153" t="str">
        <f>IFERROR(K$10*K189,'!'!$GJ$15)</f>
        <v>N</v>
      </c>
      <c r="Y189" s="153" t="str">
        <f>IFERROR(M$10*M189,'!'!$GJ$15)</f>
        <v>N</v>
      </c>
      <c r="Z189" s="153" t="str">
        <f>IFERROR(O$10*O190,'!'!$GJ$15)</f>
        <v>N</v>
      </c>
    </row>
    <row r="190" spans="1:26" x14ac:dyDescent="0.35">
      <c r="A190" s="4">
        <f t="shared" si="4"/>
        <v>166</v>
      </c>
      <c r="B190" s="286" t="str">
        <f>IFERROR(IF(Report!$D$4='!'!$HE$4,VLOOKUP(A190,Reference!$B$25:$H$390,2,FALSE),VLOOKUP(A190,Monitoring!$B$25:$H$390,2,FALSE)),'!'!$GJ$15)</f>
        <v>N</v>
      </c>
      <c r="C190" s="58" t="str">
        <f>Reference!A190</f>
        <v/>
      </c>
      <c r="D190" s="287" t="str">
        <f>IFERROR(IF(Report!$D$4='!'!$HE$4,VLOOKUP(A190,Reference!$B$25:$H$390,3,FALSE),VLOOKUP(A190,Monitoring!$B$25:$H$390,3,FALSE)),'!'!$GJ$15)</f>
        <v>N</v>
      </c>
      <c r="E190" s="285"/>
      <c r="F190" s="254"/>
      <c r="G190" s="151" t="str">
        <f>IF(D190='!'!$GJ$15,'!'!$GJ$15,(SUM(W190,X190,Y190,Z189,Q190)))</f>
        <v>N</v>
      </c>
      <c r="H190" s="51"/>
      <c r="I190" s="299" t="str">
        <f>IF($I$12="","",IFERROR(IF(Report!$D$4='!'!$HE$4,VLOOKUP(A190,Reference!$B$25:$H$390,4,FALSE),VLOOKUP(A190,Monitoring!$B$25:$H$390,4,FALSE)),""))</f>
        <v/>
      </c>
      <c r="J190" s="256"/>
      <c r="K190" s="299" t="str">
        <f>IF($K$12="","",IFERROR(IF(Report!$D$4='!'!$HE$4,VLOOKUP(A190,Reference!$B$25:$H$390,5,FALSE),VLOOKUP(A190,Monitoring!$B$25:$H$390,5,FALSE)),""))</f>
        <v/>
      </c>
      <c r="L190" s="256"/>
      <c r="M190" s="299" t="str">
        <f>IF($M$12="","",IFERROR(IF(Report!$D$4='!'!$HE$4,VLOOKUP(A190,Reference!$B$25:$H$390,6,FALSE),VLOOKUP(A190,Monitoring!$B$25:$H$390,6,FALSE)),""))</f>
        <v/>
      </c>
      <c r="N190" s="256"/>
      <c r="O190" s="299" t="str">
        <f>IF($O$12="","",IFERROR(IF(Report!$D$4='!'!$HE$4,VLOOKUP(A190,Reference!$B$25:$H$390,7,FALSE),VLOOKUP(A190,Monitoring!$B$25:$H$390,7,FALSE)),""))</f>
        <v/>
      </c>
      <c r="P190" s="51"/>
      <c r="Q190" s="151" t="str">
        <f>IF(B190='!'!$GJ$15,'!'!$GJ$15,$Q$12)</f>
        <v>N</v>
      </c>
      <c r="S190" s="4" t="str">
        <f>IFERROR(ABS(T190),'!'!$GJ$15)</f>
        <v>N</v>
      </c>
      <c r="T190" s="84" t="str">
        <f>IFERROR(+G190-D190,'!'!$GJ$15)</f>
        <v>N</v>
      </c>
      <c r="U190" s="64" t="str">
        <f t="shared" si="5"/>
        <v>N</v>
      </c>
      <c r="W190" s="153" t="str">
        <f>IFERROR(I$10*I190,'!'!$GJ$15)</f>
        <v>N</v>
      </c>
      <c r="X190" s="153" t="str">
        <f>IFERROR(K$10*K190,'!'!$GJ$15)</f>
        <v>N</v>
      </c>
      <c r="Y190" s="153" t="str">
        <f>IFERROR(M$10*M190,'!'!$GJ$15)</f>
        <v>N</v>
      </c>
      <c r="Z190" s="153" t="str">
        <f>IFERROR(O$10*O191,'!'!$GJ$15)</f>
        <v>N</v>
      </c>
    </row>
    <row r="191" spans="1:26" x14ac:dyDescent="0.35">
      <c r="A191" s="4">
        <f t="shared" si="4"/>
        <v>167</v>
      </c>
      <c r="B191" s="286" t="str">
        <f>IFERROR(IF(Report!$D$4='!'!$HE$4,VLOOKUP(A191,Reference!$B$25:$H$390,2,FALSE),VLOOKUP(A191,Monitoring!$B$25:$H$390,2,FALSE)),'!'!$GJ$15)</f>
        <v>N</v>
      </c>
      <c r="C191" s="58" t="str">
        <f>Reference!A191</f>
        <v/>
      </c>
      <c r="D191" s="287" t="str">
        <f>IFERROR(IF(Report!$D$4='!'!$HE$4,VLOOKUP(A191,Reference!$B$25:$H$390,3,FALSE),VLOOKUP(A191,Monitoring!$B$25:$H$390,3,FALSE)),'!'!$GJ$15)</f>
        <v>N</v>
      </c>
      <c r="E191" s="285"/>
      <c r="F191" s="254"/>
      <c r="G191" s="151" t="str">
        <f>IF(D191='!'!$GJ$15,'!'!$GJ$15,(SUM(W191,X191,Y191,Z190,Q191)))</f>
        <v>N</v>
      </c>
      <c r="H191" s="51"/>
      <c r="I191" s="299" t="str">
        <f>IF($I$12="","",IFERROR(IF(Report!$D$4='!'!$HE$4,VLOOKUP(A191,Reference!$B$25:$H$390,4,FALSE),VLOOKUP(A191,Monitoring!$B$25:$H$390,4,FALSE)),""))</f>
        <v/>
      </c>
      <c r="J191" s="256"/>
      <c r="K191" s="299" t="str">
        <f>IF($K$12="","",IFERROR(IF(Report!$D$4='!'!$HE$4,VLOOKUP(A191,Reference!$B$25:$H$390,5,FALSE),VLOOKUP(A191,Monitoring!$B$25:$H$390,5,FALSE)),""))</f>
        <v/>
      </c>
      <c r="L191" s="256"/>
      <c r="M191" s="299" t="str">
        <f>IF($M$12="","",IFERROR(IF(Report!$D$4='!'!$HE$4,VLOOKUP(A191,Reference!$B$25:$H$390,6,FALSE),VLOOKUP(A191,Monitoring!$B$25:$H$390,6,FALSE)),""))</f>
        <v/>
      </c>
      <c r="N191" s="256"/>
      <c r="O191" s="299" t="str">
        <f>IF($O$12="","",IFERROR(IF(Report!$D$4='!'!$HE$4,VLOOKUP(A191,Reference!$B$25:$H$390,7,FALSE),VLOOKUP(A191,Monitoring!$B$25:$H$390,7,FALSE)),""))</f>
        <v/>
      </c>
      <c r="P191" s="51"/>
      <c r="Q191" s="151" t="str">
        <f>IF(B191='!'!$GJ$15,'!'!$GJ$15,$Q$12)</f>
        <v>N</v>
      </c>
      <c r="S191" s="4" t="str">
        <f>IFERROR(ABS(T191),'!'!$GJ$15)</f>
        <v>N</v>
      </c>
      <c r="T191" s="84" t="str">
        <f>IFERROR(+G191-D191,'!'!$GJ$15)</f>
        <v>N</v>
      </c>
      <c r="U191" s="64" t="str">
        <f t="shared" si="5"/>
        <v>N</v>
      </c>
      <c r="W191" s="153" t="str">
        <f>IFERROR(I$10*I191,'!'!$GJ$15)</f>
        <v>N</v>
      </c>
      <c r="X191" s="153" t="str">
        <f>IFERROR(K$10*K191,'!'!$GJ$15)</f>
        <v>N</v>
      </c>
      <c r="Y191" s="153" t="str">
        <f>IFERROR(M$10*M191,'!'!$GJ$15)</f>
        <v>N</v>
      </c>
      <c r="Z191" s="153" t="str">
        <f>IFERROR(O$10*O192,'!'!$GJ$15)</f>
        <v>N</v>
      </c>
    </row>
    <row r="192" spans="1:26" x14ac:dyDescent="0.35">
      <c r="A192" s="4">
        <f t="shared" si="4"/>
        <v>168</v>
      </c>
      <c r="B192" s="286" t="str">
        <f>IFERROR(IF(Report!$D$4='!'!$HE$4,VLOOKUP(A192,Reference!$B$25:$H$390,2,FALSE),VLOOKUP(A192,Monitoring!$B$25:$H$390,2,FALSE)),'!'!$GJ$15)</f>
        <v>N</v>
      </c>
      <c r="C192" s="58" t="str">
        <f>Reference!A192</f>
        <v/>
      </c>
      <c r="D192" s="287" t="str">
        <f>IFERROR(IF(Report!$D$4='!'!$HE$4,VLOOKUP(A192,Reference!$B$25:$H$390,3,FALSE),VLOOKUP(A192,Monitoring!$B$25:$H$390,3,FALSE)),'!'!$GJ$15)</f>
        <v>N</v>
      </c>
      <c r="E192" s="285"/>
      <c r="F192" s="254"/>
      <c r="G192" s="151" t="str">
        <f>IF(D192='!'!$GJ$15,'!'!$GJ$15,(SUM(W192,X192,Y192,Z191,Q192)))</f>
        <v>N</v>
      </c>
      <c r="H192" s="51"/>
      <c r="I192" s="299" t="str">
        <f>IF($I$12="","",IFERROR(IF(Report!$D$4='!'!$HE$4,VLOOKUP(A192,Reference!$B$25:$H$390,4,FALSE),VLOOKUP(A192,Monitoring!$B$25:$H$390,4,FALSE)),""))</f>
        <v/>
      </c>
      <c r="J192" s="256"/>
      <c r="K192" s="299" t="str">
        <f>IF($K$12="","",IFERROR(IF(Report!$D$4='!'!$HE$4,VLOOKUP(A192,Reference!$B$25:$H$390,5,FALSE),VLOOKUP(A192,Monitoring!$B$25:$H$390,5,FALSE)),""))</f>
        <v/>
      </c>
      <c r="L192" s="256"/>
      <c r="M192" s="299" t="str">
        <f>IF($M$12="","",IFERROR(IF(Report!$D$4='!'!$HE$4,VLOOKUP(A192,Reference!$B$25:$H$390,6,FALSE),VLOOKUP(A192,Monitoring!$B$25:$H$390,6,FALSE)),""))</f>
        <v/>
      </c>
      <c r="N192" s="256"/>
      <c r="O192" s="299" t="str">
        <f>IF($O$12="","",IFERROR(IF(Report!$D$4='!'!$HE$4,VLOOKUP(A192,Reference!$B$25:$H$390,7,FALSE),VLOOKUP(A192,Monitoring!$B$25:$H$390,7,FALSE)),""))</f>
        <v/>
      </c>
      <c r="P192" s="51"/>
      <c r="Q192" s="151" t="str">
        <f>IF(B192='!'!$GJ$15,'!'!$GJ$15,$Q$12)</f>
        <v>N</v>
      </c>
      <c r="S192" s="4" t="str">
        <f>IFERROR(ABS(T192),'!'!$GJ$15)</f>
        <v>N</v>
      </c>
      <c r="T192" s="84" t="str">
        <f>IFERROR(+G192-D192,'!'!$GJ$15)</f>
        <v>N</v>
      </c>
      <c r="U192" s="64" t="str">
        <f t="shared" si="5"/>
        <v>N</v>
      </c>
      <c r="W192" s="153" t="str">
        <f>IFERROR(I$10*I192,'!'!$GJ$15)</f>
        <v>N</v>
      </c>
      <c r="X192" s="153" t="str">
        <f>IFERROR(K$10*K192,'!'!$GJ$15)</f>
        <v>N</v>
      </c>
      <c r="Y192" s="153" t="str">
        <f>IFERROR(M$10*M192,'!'!$GJ$15)</f>
        <v>N</v>
      </c>
      <c r="Z192" s="153" t="str">
        <f>IFERROR(O$10*O193,'!'!$GJ$15)</f>
        <v>N</v>
      </c>
    </row>
    <row r="193" spans="1:26" x14ac:dyDescent="0.35">
      <c r="A193" s="4">
        <f t="shared" si="4"/>
        <v>169</v>
      </c>
      <c r="B193" s="286" t="str">
        <f>IFERROR(IF(Report!$D$4='!'!$HE$4,VLOOKUP(A193,Reference!$B$25:$H$390,2,FALSE),VLOOKUP(A193,Monitoring!$B$25:$H$390,2,FALSE)),'!'!$GJ$15)</f>
        <v>N</v>
      </c>
      <c r="C193" s="58" t="str">
        <f>Reference!A193</f>
        <v/>
      </c>
      <c r="D193" s="287" t="str">
        <f>IFERROR(IF(Report!$D$4='!'!$HE$4,VLOOKUP(A193,Reference!$B$25:$H$390,3,FALSE),VLOOKUP(A193,Monitoring!$B$25:$H$390,3,FALSE)),'!'!$GJ$15)</f>
        <v>N</v>
      </c>
      <c r="E193" s="285"/>
      <c r="F193" s="254"/>
      <c r="G193" s="151" t="str">
        <f>IF(D193='!'!$GJ$15,'!'!$GJ$15,(SUM(W193,X193,Y193,Z192,Q193)))</f>
        <v>N</v>
      </c>
      <c r="H193" s="51"/>
      <c r="I193" s="299" t="str">
        <f>IF($I$12="","",IFERROR(IF(Report!$D$4='!'!$HE$4,VLOOKUP(A193,Reference!$B$25:$H$390,4,FALSE),VLOOKUP(A193,Monitoring!$B$25:$H$390,4,FALSE)),""))</f>
        <v/>
      </c>
      <c r="J193" s="256"/>
      <c r="K193" s="299" t="str">
        <f>IF($K$12="","",IFERROR(IF(Report!$D$4='!'!$HE$4,VLOOKUP(A193,Reference!$B$25:$H$390,5,FALSE),VLOOKUP(A193,Monitoring!$B$25:$H$390,5,FALSE)),""))</f>
        <v/>
      </c>
      <c r="L193" s="256"/>
      <c r="M193" s="299" t="str">
        <f>IF($M$12="","",IFERROR(IF(Report!$D$4='!'!$HE$4,VLOOKUP(A193,Reference!$B$25:$H$390,6,FALSE),VLOOKUP(A193,Monitoring!$B$25:$H$390,6,FALSE)),""))</f>
        <v/>
      </c>
      <c r="N193" s="256"/>
      <c r="O193" s="299" t="str">
        <f>IF($O$12="","",IFERROR(IF(Report!$D$4='!'!$HE$4,VLOOKUP(A193,Reference!$B$25:$H$390,7,FALSE),VLOOKUP(A193,Monitoring!$B$25:$H$390,7,FALSE)),""))</f>
        <v/>
      </c>
      <c r="P193" s="51"/>
      <c r="Q193" s="151" t="str">
        <f>IF(B193='!'!$GJ$15,'!'!$GJ$15,$Q$12)</f>
        <v>N</v>
      </c>
      <c r="S193" s="4" t="str">
        <f>IFERROR(ABS(T193),'!'!$GJ$15)</f>
        <v>N</v>
      </c>
      <c r="T193" s="84" t="str">
        <f>IFERROR(+G193-D193,'!'!$GJ$15)</f>
        <v>N</v>
      </c>
      <c r="U193" s="64" t="str">
        <f t="shared" si="5"/>
        <v>N</v>
      </c>
      <c r="W193" s="153" t="str">
        <f>IFERROR(I$10*I193,'!'!$GJ$15)</f>
        <v>N</v>
      </c>
      <c r="X193" s="153" t="str">
        <f>IFERROR(K$10*K193,'!'!$GJ$15)</f>
        <v>N</v>
      </c>
      <c r="Y193" s="153" t="str">
        <f>IFERROR(M$10*M193,'!'!$GJ$15)</f>
        <v>N</v>
      </c>
      <c r="Z193" s="153" t="str">
        <f>IFERROR(O$10*O194,'!'!$GJ$15)</f>
        <v>N</v>
      </c>
    </row>
    <row r="194" spans="1:26" x14ac:dyDescent="0.35">
      <c r="A194" s="4">
        <f t="shared" si="4"/>
        <v>170</v>
      </c>
      <c r="B194" s="286" t="str">
        <f>IFERROR(IF(Report!$D$4='!'!$HE$4,VLOOKUP(A194,Reference!$B$25:$H$390,2,FALSE),VLOOKUP(A194,Monitoring!$B$25:$H$390,2,FALSE)),'!'!$GJ$15)</f>
        <v>N</v>
      </c>
      <c r="C194" s="58" t="str">
        <f>Reference!A194</f>
        <v/>
      </c>
      <c r="D194" s="287" t="str">
        <f>IFERROR(IF(Report!$D$4='!'!$HE$4,VLOOKUP(A194,Reference!$B$25:$H$390,3,FALSE),VLOOKUP(A194,Monitoring!$B$25:$H$390,3,FALSE)),'!'!$GJ$15)</f>
        <v>N</v>
      </c>
      <c r="E194" s="285"/>
      <c r="F194" s="254"/>
      <c r="G194" s="151" t="str">
        <f>IF(D194='!'!$GJ$15,'!'!$GJ$15,(SUM(W194,X194,Y194,Z193,Q194)))</f>
        <v>N</v>
      </c>
      <c r="H194" s="51"/>
      <c r="I194" s="299" t="str">
        <f>IF($I$12="","",IFERROR(IF(Report!$D$4='!'!$HE$4,VLOOKUP(A194,Reference!$B$25:$H$390,4,FALSE),VLOOKUP(A194,Monitoring!$B$25:$H$390,4,FALSE)),""))</f>
        <v/>
      </c>
      <c r="J194" s="256"/>
      <c r="K194" s="299" t="str">
        <f>IF($K$12="","",IFERROR(IF(Report!$D$4='!'!$HE$4,VLOOKUP(A194,Reference!$B$25:$H$390,5,FALSE),VLOOKUP(A194,Monitoring!$B$25:$H$390,5,FALSE)),""))</f>
        <v/>
      </c>
      <c r="L194" s="256"/>
      <c r="M194" s="299" t="str">
        <f>IF($M$12="","",IFERROR(IF(Report!$D$4='!'!$HE$4,VLOOKUP(A194,Reference!$B$25:$H$390,6,FALSE),VLOOKUP(A194,Monitoring!$B$25:$H$390,6,FALSE)),""))</f>
        <v/>
      </c>
      <c r="N194" s="256"/>
      <c r="O194" s="299" t="str">
        <f>IF($O$12="","",IFERROR(IF(Report!$D$4='!'!$HE$4,VLOOKUP(A194,Reference!$B$25:$H$390,7,FALSE),VLOOKUP(A194,Monitoring!$B$25:$H$390,7,FALSE)),""))</f>
        <v/>
      </c>
      <c r="P194" s="51"/>
      <c r="Q194" s="151" t="str">
        <f>IF(B194='!'!$GJ$15,'!'!$GJ$15,$Q$12)</f>
        <v>N</v>
      </c>
      <c r="S194" s="4" t="str">
        <f>IFERROR(ABS(T194),'!'!$GJ$15)</f>
        <v>N</v>
      </c>
      <c r="T194" s="84" t="str">
        <f>IFERROR(+G194-D194,'!'!$GJ$15)</f>
        <v>N</v>
      </c>
      <c r="U194" s="64" t="str">
        <f t="shared" si="5"/>
        <v>N</v>
      </c>
      <c r="W194" s="153" t="str">
        <f>IFERROR(I$10*I194,'!'!$GJ$15)</f>
        <v>N</v>
      </c>
      <c r="X194" s="153" t="str">
        <f>IFERROR(K$10*K194,'!'!$GJ$15)</f>
        <v>N</v>
      </c>
      <c r="Y194" s="153" t="str">
        <f>IFERROR(M$10*M194,'!'!$GJ$15)</f>
        <v>N</v>
      </c>
      <c r="Z194" s="153" t="str">
        <f>IFERROR(O$10*O195,'!'!$GJ$15)</f>
        <v>N</v>
      </c>
    </row>
    <row r="195" spans="1:26" x14ac:dyDescent="0.35">
      <c r="A195" s="4">
        <f t="shared" si="4"/>
        <v>171</v>
      </c>
      <c r="B195" s="286" t="str">
        <f>IFERROR(IF(Report!$D$4='!'!$HE$4,VLOOKUP(A195,Reference!$B$25:$H$390,2,FALSE),VLOOKUP(A195,Monitoring!$B$25:$H$390,2,FALSE)),'!'!$GJ$15)</f>
        <v>N</v>
      </c>
      <c r="C195" s="58" t="str">
        <f>Reference!A195</f>
        <v/>
      </c>
      <c r="D195" s="287" t="str">
        <f>IFERROR(IF(Report!$D$4='!'!$HE$4,VLOOKUP(A195,Reference!$B$25:$H$390,3,FALSE),VLOOKUP(A195,Monitoring!$B$25:$H$390,3,FALSE)),'!'!$GJ$15)</f>
        <v>N</v>
      </c>
      <c r="E195" s="285"/>
      <c r="F195" s="254"/>
      <c r="G195" s="151" t="str">
        <f>IF(D195='!'!$GJ$15,'!'!$GJ$15,(SUM(W195,X195,Y195,Z194,Q195)))</f>
        <v>N</v>
      </c>
      <c r="H195" s="51"/>
      <c r="I195" s="299" t="str">
        <f>IF($I$12="","",IFERROR(IF(Report!$D$4='!'!$HE$4,VLOOKUP(A195,Reference!$B$25:$H$390,4,FALSE),VLOOKUP(A195,Monitoring!$B$25:$H$390,4,FALSE)),""))</f>
        <v/>
      </c>
      <c r="J195" s="256"/>
      <c r="K195" s="299" t="str">
        <f>IF($K$12="","",IFERROR(IF(Report!$D$4='!'!$HE$4,VLOOKUP(A195,Reference!$B$25:$H$390,5,FALSE),VLOOKUP(A195,Monitoring!$B$25:$H$390,5,FALSE)),""))</f>
        <v/>
      </c>
      <c r="L195" s="256"/>
      <c r="M195" s="299" t="str">
        <f>IF($M$12="","",IFERROR(IF(Report!$D$4='!'!$HE$4,VLOOKUP(A195,Reference!$B$25:$H$390,6,FALSE),VLOOKUP(A195,Monitoring!$B$25:$H$390,6,FALSE)),""))</f>
        <v/>
      </c>
      <c r="N195" s="256"/>
      <c r="O195" s="299" t="str">
        <f>IF($O$12="","",IFERROR(IF(Report!$D$4='!'!$HE$4,VLOOKUP(A195,Reference!$B$25:$H$390,7,FALSE),VLOOKUP(A195,Monitoring!$B$25:$H$390,7,FALSE)),""))</f>
        <v/>
      </c>
      <c r="P195" s="51"/>
      <c r="Q195" s="151" t="str">
        <f>IF(B195='!'!$GJ$15,'!'!$GJ$15,$Q$12)</f>
        <v>N</v>
      </c>
      <c r="S195" s="4" t="str">
        <f>IFERROR(ABS(T195),'!'!$GJ$15)</f>
        <v>N</v>
      </c>
      <c r="T195" s="84" t="str">
        <f>IFERROR(+G195-D195,'!'!$GJ$15)</f>
        <v>N</v>
      </c>
      <c r="U195" s="64" t="str">
        <f t="shared" si="5"/>
        <v>N</v>
      </c>
      <c r="W195" s="153" t="str">
        <f>IFERROR(I$10*I195,'!'!$GJ$15)</f>
        <v>N</v>
      </c>
      <c r="X195" s="153" t="str">
        <f>IFERROR(K$10*K195,'!'!$GJ$15)</f>
        <v>N</v>
      </c>
      <c r="Y195" s="153" t="str">
        <f>IFERROR(M$10*M195,'!'!$GJ$15)</f>
        <v>N</v>
      </c>
      <c r="Z195" s="153" t="str">
        <f>IFERROR(O$10*O196,'!'!$GJ$15)</f>
        <v>N</v>
      </c>
    </row>
    <row r="196" spans="1:26" x14ac:dyDescent="0.35">
      <c r="A196" s="4">
        <f t="shared" si="4"/>
        <v>172</v>
      </c>
      <c r="B196" s="286" t="str">
        <f>IFERROR(IF(Report!$D$4='!'!$HE$4,VLOOKUP(A196,Reference!$B$25:$H$390,2,FALSE),VLOOKUP(A196,Monitoring!$B$25:$H$390,2,FALSE)),'!'!$GJ$15)</f>
        <v>N</v>
      </c>
      <c r="C196" s="58" t="str">
        <f>Reference!A196</f>
        <v/>
      </c>
      <c r="D196" s="287" t="str">
        <f>IFERROR(IF(Report!$D$4='!'!$HE$4,VLOOKUP(A196,Reference!$B$25:$H$390,3,FALSE),VLOOKUP(A196,Monitoring!$B$25:$H$390,3,FALSE)),'!'!$GJ$15)</f>
        <v>N</v>
      </c>
      <c r="E196" s="285"/>
      <c r="F196" s="254"/>
      <c r="G196" s="151" t="str">
        <f>IF(D196='!'!$GJ$15,'!'!$GJ$15,(SUM(W196,X196,Y196,Z195,Q196)))</f>
        <v>N</v>
      </c>
      <c r="H196" s="51"/>
      <c r="I196" s="299" t="str">
        <f>IF($I$12="","",IFERROR(IF(Report!$D$4='!'!$HE$4,VLOOKUP(A196,Reference!$B$25:$H$390,4,FALSE),VLOOKUP(A196,Monitoring!$B$25:$H$390,4,FALSE)),""))</f>
        <v/>
      </c>
      <c r="J196" s="256"/>
      <c r="K196" s="299" t="str">
        <f>IF($K$12="","",IFERROR(IF(Report!$D$4='!'!$HE$4,VLOOKUP(A196,Reference!$B$25:$H$390,5,FALSE),VLOOKUP(A196,Monitoring!$B$25:$H$390,5,FALSE)),""))</f>
        <v/>
      </c>
      <c r="L196" s="256"/>
      <c r="M196" s="299" t="str">
        <f>IF($M$12="","",IFERROR(IF(Report!$D$4='!'!$HE$4,VLOOKUP(A196,Reference!$B$25:$H$390,6,FALSE),VLOOKUP(A196,Monitoring!$B$25:$H$390,6,FALSE)),""))</f>
        <v/>
      </c>
      <c r="N196" s="256"/>
      <c r="O196" s="299" t="str">
        <f>IF($O$12="","",IFERROR(IF(Report!$D$4='!'!$HE$4,VLOOKUP(A196,Reference!$B$25:$H$390,7,FALSE),VLOOKUP(A196,Monitoring!$B$25:$H$390,7,FALSE)),""))</f>
        <v/>
      </c>
      <c r="P196" s="51"/>
      <c r="Q196" s="151" t="str">
        <f>IF(B196='!'!$GJ$15,'!'!$GJ$15,$Q$12)</f>
        <v>N</v>
      </c>
      <c r="S196" s="4" t="str">
        <f>IFERROR(ABS(T196),'!'!$GJ$15)</f>
        <v>N</v>
      </c>
      <c r="T196" s="84" t="str">
        <f>IFERROR(+G196-D196,'!'!$GJ$15)</f>
        <v>N</v>
      </c>
      <c r="U196" s="64" t="str">
        <f t="shared" si="5"/>
        <v>N</v>
      </c>
      <c r="W196" s="153" t="str">
        <f>IFERROR(I$10*I196,'!'!$GJ$15)</f>
        <v>N</v>
      </c>
      <c r="X196" s="153" t="str">
        <f>IFERROR(K$10*K196,'!'!$GJ$15)</f>
        <v>N</v>
      </c>
      <c r="Y196" s="153" t="str">
        <f>IFERROR(M$10*M196,'!'!$GJ$15)</f>
        <v>N</v>
      </c>
      <c r="Z196" s="153" t="str">
        <f>IFERROR(O$10*O197,'!'!$GJ$15)</f>
        <v>N</v>
      </c>
    </row>
    <row r="197" spans="1:26" x14ac:dyDescent="0.35">
      <c r="A197" s="4">
        <f t="shared" si="4"/>
        <v>173</v>
      </c>
      <c r="B197" s="286" t="str">
        <f>IFERROR(IF(Report!$D$4='!'!$HE$4,VLOOKUP(A197,Reference!$B$25:$H$390,2,FALSE),VLOOKUP(A197,Monitoring!$B$25:$H$390,2,FALSE)),'!'!$GJ$15)</f>
        <v>N</v>
      </c>
      <c r="C197" s="58" t="str">
        <f>Reference!A197</f>
        <v/>
      </c>
      <c r="D197" s="287" t="str">
        <f>IFERROR(IF(Report!$D$4='!'!$HE$4,VLOOKUP(A197,Reference!$B$25:$H$390,3,FALSE),VLOOKUP(A197,Monitoring!$B$25:$H$390,3,FALSE)),'!'!$GJ$15)</f>
        <v>N</v>
      </c>
      <c r="E197" s="285"/>
      <c r="F197" s="254"/>
      <c r="G197" s="151" t="str">
        <f>IF(D197='!'!$GJ$15,'!'!$GJ$15,(SUM(W197,X197,Y197,Z196,Q197)))</f>
        <v>N</v>
      </c>
      <c r="H197" s="51"/>
      <c r="I197" s="299" t="str">
        <f>IF($I$12="","",IFERROR(IF(Report!$D$4='!'!$HE$4,VLOOKUP(A197,Reference!$B$25:$H$390,4,FALSE),VLOOKUP(A197,Monitoring!$B$25:$H$390,4,FALSE)),""))</f>
        <v/>
      </c>
      <c r="J197" s="256"/>
      <c r="K197" s="299" t="str">
        <f>IF($K$12="","",IFERROR(IF(Report!$D$4='!'!$HE$4,VLOOKUP(A197,Reference!$B$25:$H$390,5,FALSE),VLOOKUP(A197,Monitoring!$B$25:$H$390,5,FALSE)),""))</f>
        <v/>
      </c>
      <c r="L197" s="256"/>
      <c r="M197" s="299" t="str">
        <f>IF($M$12="","",IFERROR(IF(Report!$D$4='!'!$HE$4,VLOOKUP(A197,Reference!$B$25:$H$390,6,FALSE),VLOOKUP(A197,Monitoring!$B$25:$H$390,6,FALSE)),""))</f>
        <v/>
      </c>
      <c r="N197" s="256"/>
      <c r="O197" s="299" t="str">
        <f>IF($O$12="","",IFERROR(IF(Report!$D$4='!'!$HE$4,VLOOKUP(A197,Reference!$B$25:$H$390,7,FALSE),VLOOKUP(A197,Monitoring!$B$25:$H$390,7,FALSE)),""))</f>
        <v/>
      </c>
      <c r="P197" s="51"/>
      <c r="Q197" s="151" t="str">
        <f>IF(B197='!'!$GJ$15,'!'!$GJ$15,$Q$12)</f>
        <v>N</v>
      </c>
      <c r="S197" s="4" t="str">
        <f>IFERROR(ABS(T197),'!'!$GJ$15)</f>
        <v>N</v>
      </c>
      <c r="T197" s="84" t="str">
        <f>IFERROR(+G197-D197,'!'!$GJ$15)</f>
        <v>N</v>
      </c>
      <c r="U197" s="64" t="str">
        <f t="shared" si="5"/>
        <v>N</v>
      </c>
      <c r="W197" s="153" t="str">
        <f>IFERROR(I$10*I197,'!'!$GJ$15)</f>
        <v>N</v>
      </c>
      <c r="X197" s="153" t="str">
        <f>IFERROR(K$10*K197,'!'!$GJ$15)</f>
        <v>N</v>
      </c>
      <c r="Y197" s="153" t="str">
        <f>IFERROR(M$10*M197,'!'!$GJ$15)</f>
        <v>N</v>
      </c>
      <c r="Z197" s="153" t="str">
        <f>IFERROR(O$10*O198,'!'!$GJ$15)</f>
        <v>N</v>
      </c>
    </row>
    <row r="198" spans="1:26" x14ac:dyDescent="0.35">
      <c r="A198" s="4">
        <f t="shared" si="4"/>
        <v>174</v>
      </c>
      <c r="B198" s="286" t="str">
        <f>IFERROR(IF(Report!$D$4='!'!$HE$4,VLOOKUP(A198,Reference!$B$25:$H$390,2,FALSE),VLOOKUP(A198,Monitoring!$B$25:$H$390,2,FALSE)),'!'!$GJ$15)</f>
        <v>N</v>
      </c>
      <c r="C198" s="58" t="str">
        <f>Reference!A198</f>
        <v/>
      </c>
      <c r="D198" s="287" t="str">
        <f>IFERROR(IF(Report!$D$4='!'!$HE$4,VLOOKUP(A198,Reference!$B$25:$H$390,3,FALSE),VLOOKUP(A198,Monitoring!$B$25:$H$390,3,FALSE)),'!'!$GJ$15)</f>
        <v>N</v>
      </c>
      <c r="E198" s="285"/>
      <c r="F198" s="254"/>
      <c r="G198" s="151" t="str">
        <f>IF(D198='!'!$GJ$15,'!'!$GJ$15,(SUM(W198,X198,Y198,Z197,Q198)))</f>
        <v>N</v>
      </c>
      <c r="H198" s="51"/>
      <c r="I198" s="299" t="str">
        <f>IF($I$12="","",IFERROR(IF(Report!$D$4='!'!$HE$4,VLOOKUP(A198,Reference!$B$25:$H$390,4,FALSE),VLOOKUP(A198,Monitoring!$B$25:$H$390,4,FALSE)),""))</f>
        <v/>
      </c>
      <c r="J198" s="256"/>
      <c r="K198" s="299" t="str">
        <f>IF($K$12="","",IFERROR(IF(Report!$D$4='!'!$HE$4,VLOOKUP(A198,Reference!$B$25:$H$390,5,FALSE),VLOOKUP(A198,Monitoring!$B$25:$H$390,5,FALSE)),""))</f>
        <v/>
      </c>
      <c r="L198" s="256"/>
      <c r="M198" s="299" t="str">
        <f>IF($M$12="","",IFERROR(IF(Report!$D$4='!'!$HE$4,VLOOKUP(A198,Reference!$B$25:$H$390,6,FALSE),VLOOKUP(A198,Monitoring!$B$25:$H$390,6,FALSE)),""))</f>
        <v/>
      </c>
      <c r="N198" s="256"/>
      <c r="O198" s="299" t="str">
        <f>IF($O$12="","",IFERROR(IF(Report!$D$4='!'!$HE$4,VLOOKUP(A198,Reference!$B$25:$H$390,7,FALSE),VLOOKUP(A198,Monitoring!$B$25:$H$390,7,FALSE)),""))</f>
        <v/>
      </c>
      <c r="P198" s="51"/>
      <c r="Q198" s="151" t="str">
        <f>IF(B198='!'!$GJ$15,'!'!$GJ$15,$Q$12)</f>
        <v>N</v>
      </c>
      <c r="S198" s="4" t="str">
        <f>IFERROR(ABS(T198),'!'!$GJ$15)</f>
        <v>N</v>
      </c>
      <c r="T198" s="84" t="str">
        <f>IFERROR(+G198-D198,'!'!$GJ$15)</f>
        <v>N</v>
      </c>
      <c r="U198" s="64" t="str">
        <f t="shared" si="5"/>
        <v>N</v>
      </c>
      <c r="W198" s="153" t="str">
        <f>IFERROR(I$10*I198,'!'!$GJ$15)</f>
        <v>N</v>
      </c>
      <c r="X198" s="153" t="str">
        <f>IFERROR(K$10*K198,'!'!$GJ$15)</f>
        <v>N</v>
      </c>
      <c r="Y198" s="153" t="str">
        <f>IFERROR(M$10*M198,'!'!$GJ$15)</f>
        <v>N</v>
      </c>
      <c r="Z198" s="153" t="str">
        <f>IFERROR(O$10*O199,'!'!$GJ$15)</f>
        <v>N</v>
      </c>
    </row>
    <row r="199" spans="1:26" x14ac:dyDescent="0.35">
      <c r="A199" s="4">
        <f t="shared" si="4"/>
        <v>175</v>
      </c>
      <c r="B199" s="286" t="str">
        <f>IFERROR(IF(Report!$D$4='!'!$HE$4,VLOOKUP(A199,Reference!$B$25:$H$390,2,FALSE),VLOOKUP(A199,Monitoring!$B$25:$H$390,2,FALSE)),'!'!$GJ$15)</f>
        <v>N</v>
      </c>
      <c r="C199" s="58" t="str">
        <f>Reference!A199</f>
        <v/>
      </c>
      <c r="D199" s="287" t="str">
        <f>IFERROR(IF(Report!$D$4='!'!$HE$4,VLOOKUP(A199,Reference!$B$25:$H$390,3,FALSE),VLOOKUP(A199,Monitoring!$B$25:$H$390,3,FALSE)),'!'!$GJ$15)</f>
        <v>N</v>
      </c>
      <c r="E199" s="285"/>
      <c r="F199" s="254"/>
      <c r="G199" s="151" t="str">
        <f>IF(D199='!'!$GJ$15,'!'!$GJ$15,(SUM(W199,X199,Y199,Z198,Q199)))</f>
        <v>N</v>
      </c>
      <c r="H199" s="51"/>
      <c r="I199" s="299" t="str">
        <f>IF($I$12="","",IFERROR(IF(Report!$D$4='!'!$HE$4,VLOOKUP(A199,Reference!$B$25:$H$390,4,FALSE),VLOOKUP(A199,Monitoring!$B$25:$H$390,4,FALSE)),""))</f>
        <v/>
      </c>
      <c r="J199" s="256"/>
      <c r="K199" s="299" t="str">
        <f>IF($K$12="","",IFERROR(IF(Report!$D$4='!'!$HE$4,VLOOKUP(A199,Reference!$B$25:$H$390,5,FALSE),VLOOKUP(A199,Monitoring!$B$25:$H$390,5,FALSE)),""))</f>
        <v/>
      </c>
      <c r="L199" s="256"/>
      <c r="M199" s="299" t="str">
        <f>IF($M$12="","",IFERROR(IF(Report!$D$4='!'!$HE$4,VLOOKUP(A199,Reference!$B$25:$H$390,6,FALSE),VLOOKUP(A199,Monitoring!$B$25:$H$390,6,FALSE)),""))</f>
        <v/>
      </c>
      <c r="N199" s="256"/>
      <c r="O199" s="299" t="str">
        <f>IF($O$12="","",IFERROR(IF(Report!$D$4='!'!$HE$4,VLOOKUP(A199,Reference!$B$25:$H$390,7,FALSE),VLOOKUP(A199,Monitoring!$B$25:$H$390,7,FALSE)),""))</f>
        <v/>
      </c>
      <c r="P199" s="51"/>
      <c r="Q199" s="151" t="str">
        <f>IF(B199='!'!$GJ$15,'!'!$GJ$15,$Q$12)</f>
        <v>N</v>
      </c>
      <c r="S199" s="4" t="str">
        <f>IFERROR(ABS(T199),'!'!$GJ$15)</f>
        <v>N</v>
      </c>
      <c r="T199" s="84" t="str">
        <f>IFERROR(+G199-D199,'!'!$GJ$15)</f>
        <v>N</v>
      </c>
      <c r="U199" s="64" t="str">
        <f t="shared" si="5"/>
        <v>N</v>
      </c>
      <c r="W199" s="153" t="str">
        <f>IFERROR(I$10*I199,'!'!$GJ$15)</f>
        <v>N</v>
      </c>
      <c r="X199" s="153" t="str">
        <f>IFERROR(K$10*K199,'!'!$GJ$15)</f>
        <v>N</v>
      </c>
      <c r="Y199" s="153" t="str">
        <f>IFERROR(M$10*M199,'!'!$GJ$15)</f>
        <v>N</v>
      </c>
      <c r="Z199" s="153" t="str">
        <f>IFERROR(O$10*O200,'!'!$GJ$15)</f>
        <v>N</v>
      </c>
    </row>
    <row r="200" spans="1:26" x14ac:dyDescent="0.35">
      <c r="A200" s="4">
        <f t="shared" si="4"/>
        <v>176</v>
      </c>
      <c r="B200" s="286" t="str">
        <f>IFERROR(IF(Report!$D$4='!'!$HE$4,VLOOKUP(A200,Reference!$B$25:$H$390,2,FALSE),VLOOKUP(A200,Monitoring!$B$25:$H$390,2,FALSE)),'!'!$GJ$15)</f>
        <v>N</v>
      </c>
      <c r="C200" s="58" t="str">
        <f>Reference!A200</f>
        <v/>
      </c>
      <c r="D200" s="287" t="str">
        <f>IFERROR(IF(Report!$D$4='!'!$HE$4,VLOOKUP(A200,Reference!$B$25:$H$390,3,FALSE),VLOOKUP(A200,Monitoring!$B$25:$H$390,3,FALSE)),'!'!$GJ$15)</f>
        <v>N</v>
      </c>
      <c r="E200" s="285"/>
      <c r="F200" s="254"/>
      <c r="G200" s="151" t="str">
        <f>IF(D200='!'!$GJ$15,'!'!$GJ$15,(SUM(W200,X200,Y200,Z199,Q200)))</f>
        <v>N</v>
      </c>
      <c r="H200" s="51"/>
      <c r="I200" s="299" t="str">
        <f>IF($I$12="","",IFERROR(IF(Report!$D$4='!'!$HE$4,VLOOKUP(A200,Reference!$B$25:$H$390,4,FALSE),VLOOKUP(A200,Monitoring!$B$25:$H$390,4,FALSE)),""))</f>
        <v/>
      </c>
      <c r="J200" s="256"/>
      <c r="K200" s="299" t="str">
        <f>IF($K$12="","",IFERROR(IF(Report!$D$4='!'!$HE$4,VLOOKUP(A200,Reference!$B$25:$H$390,5,FALSE),VLOOKUP(A200,Monitoring!$B$25:$H$390,5,FALSE)),""))</f>
        <v/>
      </c>
      <c r="L200" s="256"/>
      <c r="M200" s="299" t="str">
        <f>IF($M$12="","",IFERROR(IF(Report!$D$4='!'!$HE$4,VLOOKUP(A200,Reference!$B$25:$H$390,6,FALSE),VLOOKUP(A200,Monitoring!$B$25:$H$390,6,FALSE)),""))</f>
        <v/>
      </c>
      <c r="N200" s="256"/>
      <c r="O200" s="299" t="str">
        <f>IF($O$12="","",IFERROR(IF(Report!$D$4='!'!$HE$4,VLOOKUP(A200,Reference!$B$25:$H$390,7,FALSE),VLOOKUP(A200,Monitoring!$B$25:$H$390,7,FALSE)),""))</f>
        <v/>
      </c>
      <c r="P200" s="51"/>
      <c r="Q200" s="151" t="str">
        <f>IF(B200='!'!$GJ$15,'!'!$GJ$15,$Q$12)</f>
        <v>N</v>
      </c>
      <c r="S200" s="4" t="str">
        <f>IFERROR(ABS(T200),'!'!$GJ$15)</f>
        <v>N</v>
      </c>
      <c r="T200" s="84" t="str">
        <f>IFERROR(+G200-D200,'!'!$GJ$15)</f>
        <v>N</v>
      </c>
      <c r="U200" s="64" t="str">
        <f t="shared" si="5"/>
        <v>N</v>
      </c>
      <c r="W200" s="153" t="str">
        <f>IFERROR(I$10*I200,'!'!$GJ$15)</f>
        <v>N</v>
      </c>
      <c r="X200" s="153" t="str">
        <f>IFERROR(K$10*K200,'!'!$GJ$15)</f>
        <v>N</v>
      </c>
      <c r="Y200" s="153" t="str">
        <f>IFERROR(M$10*M200,'!'!$GJ$15)</f>
        <v>N</v>
      </c>
      <c r="Z200" s="153" t="str">
        <f>IFERROR(O$10*O201,'!'!$GJ$15)</f>
        <v>N</v>
      </c>
    </row>
    <row r="201" spans="1:26" x14ac:dyDescent="0.35">
      <c r="A201" s="4">
        <f t="shared" si="4"/>
        <v>177</v>
      </c>
      <c r="B201" s="286" t="str">
        <f>IFERROR(IF(Report!$D$4='!'!$HE$4,VLOOKUP(A201,Reference!$B$25:$H$390,2,FALSE),VLOOKUP(A201,Monitoring!$B$25:$H$390,2,FALSE)),'!'!$GJ$15)</f>
        <v>N</v>
      </c>
      <c r="C201" s="58" t="str">
        <f>Reference!A201</f>
        <v/>
      </c>
      <c r="D201" s="287" t="str">
        <f>IFERROR(IF(Report!$D$4='!'!$HE$4,VLOOKUP(A201,Reference!$B$25:$H$390,3,FALSE),VLOOKUP(A201,Monitoring!$B$25:$H$390,3,FALSE)),'!'!$GJ$15)</f>
        <v>N</v>
      </c>
      <c r="E201" s="285"/>
      <c r="F201" s="254"/>
      <c r="G201" s="151" t="str">
        <f>IF(D201='!'!$GJ$15,'!'!$GJ$15,(SUM(W201,X201,Y201,Z200,Q201)))</f>
        <v>N</v>
      </c>
      <c r="H201" s="51"/>
      <c r="I201" s="299" t="str">
        <f>IF($I$12="","",IFERROR(IF(Report!$D$4='!'!$HE$4,VLOOKUP(A201,Reference!$B$25:$H$390,4,FALSE),VLOOKUP(A201,Monitoring!$B$25:$H$390,4,FALSE)),""))</f>
        <v/>
      </c>
      <c r="J201" s="256"/>
      <c r="K201" s="299" t="str">
        <f>IF($K$12="","",IFERROR(IF(Report!$D$4='!'!$HE$4,VLOOKUP(A201,Reference!$B$25:$H$390,5,FALSE),VLOOKUP(A201,Monitoring!$B$25:$H$390,5,FALSE)),""))</f>
        <v/>
      </c>
      <c r="L201" s="256"/>
      <c r="M201" s="299" t="str">
        <f>IF($M$12="","",IFERROR(IF(Report!$D$4='!'!$HE$4,VLOOKUP(A201,Reference!$B$25:$H$390,6,FALSE),VLOOKUP(A201,Monitoring!$B$25:$H$390,6,FALSE)),""))</f>
        <v/>
      </c>
      <c r="N201" s="256"/>
      <c r="O201" s="299" t="str">
        <f>IF($O$12="","",IFERROR(IF(Report!$D$4='!'!$HE$4,VLOOKUP(A201,Reference!$B$25:$H$390,7,FALSE),VLOOKUP(A201,Monitoring!$B$25:$H$390,7,FALSE)),""))</f>
        <v/>
      </c>
      <c r="P201" s="51"/>
      <c r="Q201" s="151" t="str">
        <f>IF(B201='!'!$GJ$15,'!'!$GJ$15,$Q$12)</f>
        <v>N</v>
      </c>
      <c r="S201" s="4" t="str">
        <f>IFERROR(ABS(T201),'!'!$GJ$15)</f>
        <v>N</v>
      </c>
      <c r="T201" s="84" t="str">
        <f>IFERROR(+G201-D201,'!'!$GJ$15)</f>
        <v>N</v>
      </c>
      <c r="U201" s="64" t="str">
        <f t="shared" si="5"/>
        <v>N</v>
      </c>
      <c r="W201" s="153" t="str">
        <f>IFERROR(I$10*I201,'!'!$GJ$15)</f>
        <v>N</v>
      </c>
      <c r="X201" s="153" t="str">
        <f>IFERROR(K$10*K201,'!'!$GJ$15)</f>
        <v>N</v>
      </c>
      <c r="Y201" s="153" t="str">
        <f>IFERROR(M$10*M201,'!'!$GJ$15)</f>
        <v>N</v>
      </c>
      <c r="Z201" s="153" t="str">
        <f>IFERROR(O$10*O202,'!'!$GJ$15)</f>
        <v>N</v>
      </c>
    </row>
    <row r="202" spans="1:26" x14ac:dyDescent="0.35">
      <c r="A202" s="4">
        <f t="shared" si="4"/>
        <v>178</v>
      </c>
      <c r="B202" s="286" t="str">
        <f>IFERROR(IF(Report!$D$4='!'!$HE$4,VLOOKUP(A202,Reference!$B$25:$H$390,2,FALSE),VLOOKUP(A202,Monitoring!$B$25:$H$390,2,FALSE)),'!'!$GJ$15)</f>
        <v>N</v>
      </c>
      <c r="C202" s="58" t="str">
        <f>Reference!A202</f>
        <v/>
      </c>
      <c r="D202" s="287" t="str">
        <f>IFERROR(IF(Report!$D$4='!'!$HE$4,VLOOKUP(A202,Reference!$B$25:$H$390,3,FALSE),VLOOKUP(A202,Monitoring!$B$25:$H$390,3,FALSE)),'!'!$GJ$15)</f>
        <v>N</v>
      </c>
      <c r="E202" s="285"/>
      <c r="F202" s="254"/>
      <c r="G202" s="151" t="str">
        <f>IF(D202='!'!$GJ$15,'!'!$GJ$15,(SUM(W202,X202,Y202,Z201,Q202)))</f>
        <v>N</v>
      </c>
      <c r="H202" s="51"/>
      <c r="I202" s="299" t="str">
        <f>IF($I$12="","",IFERROR(IF(Report!$D$4='!'!$HE$4,VLOOKUP(A202,Reference!$B$25:$H$390,4,FALSE),VLOOKUP(A202,Monitoring!$B$25:$H$390,4,FALSE)),""))</f>
        <v/>
      </c>
      <c r="J202" s="256"/>
      <c r="K202" s="299" t="str">
        <f>IF($K$12="","",IFERROR(IF(Report!$D$4='!'!$HE$4,VLOOKUP(A202,Reference!$B$25:$H$390,5,FALSE),VLOOKUP(A202,Monitoring!$B$25:$H$390,5,FALSE)),""))</f>
        <v/>
      </c>
      <c r="L202" s="256"/>
      <c r="M202" s="299" t="str">
        <f>IF($M$12="","",IFERROR(IF(Report!$D$4='!'!$HE$4,VLOOKUP(A202,Reference!$B$25:$H$390,6,FALSE),VLOOKUP(A202,Monitoring!$B$25:$H$390,6,FALSE)),""))</f>
        <v/>
      </c>
      <c r="N202" s="256"/>
      <c r="O202" s="299" t="str">
        <f>IF($O$12="","",IFERROR(IF(Report!$D$4='!'!$HE$4,VLOOKUP(A202,Reference!$B$25:$H$390,7,FALSE),VLOOKUP(A202,Monitoring!$B$25:$H$390,7,FALSE)),""))</f>
        <v/>
      </c>
      <c r="P202" s="51"/>
      <c r="Q202" s="151" t="str">
        <f>IF(B202='!'!$GJ$15,'!'!$GJ$15,$Q$12)</f>
        <v>N</v>
      </c>
      <c r="S202" s="4" t="str">
        <f>IFERROR(ABS(T202),'!'!$GJ$15)</f>
        <v>N</v>
      </c>
      <c r="T202" s="84" t="str">
        <f>IFERROR(+G202-D202,'!'!$GJ$15)</f>
        <v>N</v>
      </c>
      <c r="U202" s="64" t="str">
        <f t="shared" si="5"/>
        <v>N</v>
      </c>
      <c r="W202" s="153" t="str">
        <f>IFERROR(I$10*I202,'!'!$GJ$15)</f>
        <v>N</v>
      </c>
      <c r="X202" s="153" t="str">
        <f>IFERROR(K$10*K202,'!'!$GJ$15)</f>
        <v>N</v>
      </c>
      <c r="Y202" s="153" t="str">
        <f>IFERROR(M$10*M202,'!'!$GJ$15)</f>
        <v>N</v>
      </c>
      <c r="Z202" s="153" t="str">
        <f>IFERROR(O$10*O203,'!'!$GJ$15)</f>
        <v>N</v>
      </c>
    </row>
    <row r="203" spans="1:26" x14ac:dyDescent="0.35">
      <c r="A203" s="4">
        <f t="shared" si="4"/>
        <v>179</v>
      </c>
      <c r="B203" s="286" t="str">
        <f>IFERROR(IF(Report!$D$4='!'!$HE$4,VLOOKUP(A203,Reference!$B$25:$H$390,2,FALSE),VLOOKUP(A203,Monitoring!$B$25:$H$390,2,FALSE)),'!'!$GJ$15)</f>
        <v>N</v>
      </c>
      <c r="C203" s="58" t="str">
        <f>Reference!A203</f>
        <v/>
      </c>
      <c r="D203" s="287" t="str">
        <f>IFERROR(IF(Report!$D$4='!'!$HE$4,VLOOKUP(A203,Reference!$B$25:$H$390,3,FALSE),VLOOKUP(A203,Monitoring!$B$25:$H$390,3,FALSE)),'!'!$GJ$15)</f>
        <v>N</v>
      </c>
      <c r="E203" s="285"/>
      <c r="F203" s="254"/>
      <c r="G203" s="151" t="str">
        <f>IF(D203='!'!$GJ$15,'!'!$GJ$15,(SUM(W203,X203,Y203,Z202,Q203)))</f>
        <v>N</v>
      </c>
      <c r="H203" s="51"/>
      <c r="I203" s="299" t="str">
        <f>IF($I$12="","",IFERROR(IF(Report!$D$4='!'!$HE$4,VLOOKUP(A203,Reference!$B$25:$H$390,4,FALSE),VLOOKUP(A203,Monitoring!$B$25:$H$390,4,FALSE)),""))</f>
        <v/>
      </c>
      <c r="J203" s="256"/>
      <c r="K203" s="299" t="str">
        <f>IF($K$12="","",IFERROR(IF(Report!$D$4='!'!$HE$4,VLOOKUP(A203,Reference!$B$25:$H$390,5,FALSE),VLOOKUP(A203,Monitoring!$B$25:$H$390,5,FALSE)),""))</f>
        <v/>
      </c>
      <c r="L203" s="256"/>
      <c r="M203" s="299" t="str">
        <f>IF($M$12="","",IFERROR(IF(Report!$D$4='!'!$HE$4,VLOOKUP(A203,Reference!$B$25:$H$390,6,FALSE),VLOOKUP(A203,Monitoring!$B$25:$H$390,6,FALSE)),""))</f>
        <v/>
      </c>
      <c r="N203" s="256"/>
      <c r="O203" s="299" t="str">
        <f>IF($O$12="","",IFERROR(IF(Report!$D$4='!'!$HE$4,VLOOKUP(A203,Reference!$B$25:$H$390,7,FALSE),VLOOKUP(A203,Monitoring!$B$25:$H$390,7,FALSE)),""))</f>
        <v/>
      </c>
      <c r="P203" s="51"/>
      <c r="Q203" s="151" t="str">
        <f>IF(B203='!'!$GJ$15,'!'!$GJ$15,$Q$12)</f>
        <v>N</v>
      </c>
      <c r="S203" s="4" t="str">
        <f>IFERROR(ABS(T203),'!'!$GJ$15)</f>
        <v>N</v>
      </c>
      <c r="T203" s="84" t="str">
        <f>IFERROR(+G203-D203,'!'!$GJ$15)</f>
        <v>N</v>
      </c>
      <c r="U203" s="64" t="str">
        <f t="shared" si="5"/>
        <v>N</v>
      </c>
      <c r="W203" s="153" t="str">
        <f>IFERROR(I$10*I203,'!'!$GJ$15)</f>
        <v>N</v>
      </c>
      <c r="X203" s="153" t="str">
        <f>IFERROR(K$10*K203,'!'!$GJ$15)</f>
        <v>N</v>
      </c>
      <c r="Y203" s="153" t="str">
        <f>IFERROR(M$10*M203,'!'!$GJ$15)</f>
        <v>N</v>
      </c>
      <c r="Z203" s="153" t="str">
        <f>IFERROR(O$10*O204,'!'!$GJ$15)</f>
        <v>N</v>
      </c>
    </row>
    <row r="204" spans="1:26" x14ac:dyDescent="0.35">
      <c r="A204" s="4">
        <f t="shared" si="4"/>
        <v>180</v>
      </c>
      <c r="B204" s="286" t="str">
        <f>IFERROR(IF(Report!$D$4='!'!$HE$4,VLOOKUP(A204,Reference!$B$25:$H$390,2,FALSE),VLOOKUP(A204,Monitoring!$B$25:$H$390,2,FALSE)),'!'!$GJ$15)</f>
        <v>N</v>
      </c>
      <c r="C204" s="58" t="str">
        <f>Reference!A204</f>
        <v/>
      </c>
      <c r="D204" s="287" t="str">
        <f>IFERROR(IF(Report!$D$4='!'!$HE$4,VLOOKUP(A204,Reference!$B$25:$H$390,3,FALSE),VLOOKUP(A204,Monitoring!$B$25:$H$390,3,FALSE)),'!'!$GJ$15)</f>
        <v>N</v>
      </c>
      <c r="E204" s="285"/>
      <c r="F204" s="254"/>
      <c r="G204" s="151" t="str">
        <f>IF(D204='!'!$GJ$15,'!'!$GJ$15,(SUM(W204,X204,Y204,Z203,Q204)))</f>
        <v>N</v>
      </c>
      <c r="H204" s="51"/>
      <c r="I204" s="299" t="str">
        <f>IF($I$12="","",IFERROR(IF(Report!$D$4='!'!$HE$4,VLOOKUP(A204,Reference!$B$25:$H$390,4,FALSE),VLOOKUP(A204,Monitoring!$B$25:$H$390,4,FALSE)),""))</f>
        <v/>
      </c>
      <c r="J204" s="256"/>
      <c r="K204" s="299" t="str">
        <f>IF($K$12="","",IFERROR(IF(Report!$D$4='!'!$HE$4,VLOOKUP(A204,Reference!$B$25:$H$390,5,FALSE),VLOOKUP(A204,Monitoring!$B$25:$H$390,5,FALSE)),""))</f>
        <v/>
      </c>
      <c r="L204" s="256"/>
      <c r="M204" s="299" t="str">
        <f>IF($M$12="","",IFERROR(IF(Report!$D$4='!'!$HE$4,VLOOKUP(A204,Reference!$B$25:$H$390,6,FALSE),VLOOKUP(A204,Monitoring!$B$25:$H$390,6,FALSE)),""))</f>
        <v/>
      </c>
      <c r="N204" s="256"/>
      <c r="O204" s="299" t="str">
        <f>IF($O$12="","",IFERROR(IF(Report!$D$4='!'!$HE$4,VLOOKUP(A204,Reference!$B$25:$H$390,7,FALSE),VLOOKUP(A204,Monitoring!$B$25:$H$390,7,FALSE)),""))</f>
        <v/>
      </c>
      <c r="P204" s="51"/>
      <c r="Q204" s="151" t="str">
        <f>IF(B204='!'!$GJ$15,'!'!$GJ$15,$Q$12)</f>
        <v>N</v>
      </c>
      <c r="S204" s="4" t="str">
        <f>IFERROR(ABS(T204),'!'!$GJ$15)</f>
        <v>N</v>
      </c>
      <c r="T204" s="84" t="str">
        <f>IFERROR(+G204-D204,'!'!$GJ$15)</f>
        <v>N</v>
      </c>
      <c r="U204" s="64" t="str">
        <f t="shared" si="5"/>
        <v>N</v>
      </c>
      <c r="W204" s="153" t="str">
        <f>IFERROR(I$10*I204,'!'!$GJ$15)</f>
        <v>N</v>
      </c>
      <c r="X204" s="153" t="str">
        <f>IFERROR(K$10*K204,'!'!$GJ$15)</f>
        <v>N</v>
      </c>
      <c r="Y204" s="153" t="str">
        <f>IFERROR(M$10*M204,'!'!$GJ$15)</f>
        <v>N</v>
      </c>
      <c r="Z204" s="153" t="str">
        <f>IFERROR(O$10*O205,'!'!$GJ$15)</f>
        <v>N</v>
      </c>
    </row>
    <row r="205" spans="1:26" x14ac:dyDescent="0.35">
      <c r="A205" s="4">
        <f t="shared" si="4"/>
        <v>181</v>
      </c>
      <c r="B205" s="286" t="str">
        <f>IFERROR(IF(Report!$D$4='!'!$HE$4,VLOOKUP(A205,Reference!$B$25:$H$390,2,FALSE),VLOOKUP(A205,Monitoring!$B$25:$H$390,2,FALSE)),'!'!$GJ$15)</f>
        <v>N</v>
      </c>
      <c r="C205" s="58" t="str">
        <f>Reference!A205</f>
        <v/>
      </c>
      <c r="D205" s="287" t="str">
        <f>IFERROR(IF(Report!$D$4='!'!$HE$4,VLOOKUP(A205,Reference!$B$25:$H$390,3,FALSE),VLOOKUP(A205,Monitoring!$B$25:$H$390,3,FALSE)),'!'!$GJ$15)</f>
        <v>N</v>
      </c>
      <c r="E205" s="285"/>
      <c r="F205" s="254"/>
      <c r="G205" s="151" t="str">
        <f>IF(D205='!'!$GJ$15,'!'!$GJ$15,(SUM(W205,X205,Y205,Z204,Q205)))</f>
        <v>N</v>
      </c>
      <c r="H205" s="51"/>
      <c r="I205" s="299" t="str">
        <f>IF($I$12="","",IFERROR(IF(Report!$D$4='!'!$HE$4,VLOOKUP(A205,Reference!$B$25:$H$390,4,FALSE),VLOOKUP(A205,Monitoring!$B$25:$H$390,4,FALSE)),""))</f>
        <v/>
      </c>
      <c r="J205" s="256"/>
      <c r="K205" s="299" t="str">
        <f>IF($K$12="","",IFERROR(IF(Report!$D$4='!'!$HE$4,VLOOKUP(A205,Reference!$B$25:$H$390,5,FALSE),VLOOKUP(A205,Monitoring!$B$25:$H$390,5,FALSE)),""))</f>
        <v/>
      </c>
      <c r="L205" s="256"/>
      <c r="M205" s="299" t="str">
        <f>IF($M$12="","",IFERROR(IF(Report!$D$4='!'!$HE$4,VLOOKUP(A205,Reference!$B$25:$H$390,6,FALSE),VLOOKUP(A205,Monitoring!$B$25:$H$390,6,FALSE)),""))</f>
        <v/>
      </c>
      <c r="N205" s="256"/>
      <c r="O205" s="299" t="str">
        <f>IF($O$12="","",IFERROR(IF(Report!$D$4='!'!$HE$4,VLOOKUP(A205,Reference!$B$25:$H$390,7,FALSE),VLOOKUP(A205,Monitoring!$B$25:$H$390,7,FALSE)),""))</f>
        <v/>
      </c>
      <c r="P205" s="51"/>
      <c r="Q205" s="151" t="str">
        <f>IF(B205='!'!$GJ$15,'!'!$GJ$15,$Q$12)</f>
        <v>N</v>
      </c>
      <c r="S205" s="4" t="str">
        <f>IFERROR(ABS(T205),'!'!$GJ$15)</f>
        <v>N</v>
      </c>
      <c r="T205" s="84" t="str">
        <f>IFERROR(+G205-D205,'!'!$GJ$15)</f>
        <v>N</v>
      </c>
      <c r="U205" s="64" t="str">
        <f t="shared" si="5"/>
        <v>N</v>
      </c>
      <c r="W205" s="153" t="str">
        <f>IFERROR(I$10*I205,'!'!$GJ$15)</f>
        <v>N</v>
      </c>
      <c r="X205" s="153" t="str">
        <f>IFERROR(K$10*K205,'!'!$GJ$15)</f>
        <v>N</v>
      </c>
      <c r="Y205" s="153" t="str">
        <f>IFERROR(M$10*M205,'!'!$GJ$15)</f>
        <v>N</v>
      </c>
      <c r="Z205" s="153" t="str">
        <f>IFERROR(O$10*O206,'!'!$GJ$15)</f>
        <v>N</v>
      </c>
    </row>
    <row r="206" spans="1:26" x14ac:dyDescent="0.35">
      <c r="A206" s="4">
        <f t="shared" si="4"/>
        <v>182</v>
      </c>
      <c r="B206" s="286" t="str">
        <f>IFERROR(IF(Report!$D$4='!'!$HE$4,VLOOKUP(A206,Reference!$B$25:$H$390,2,FALSE),VLOOKUP(A206,Monitoring!$B$25:$H$390,2,FALSE)),'!'!$GJ$15)</f>
        <v>N</v>
      </c>
      <c r="C206" s="58" t="str">
        <f>Reference!A206</f>
        <v/>
      </c>
      <c r="D206" s="287" t="str">
        <f>IFERROR(IF(Report!$D$4='!'!$HE$4,VLOOKUP(A206,Reference!$B$25:$H$390,3,FALSE),VLOOKUP(A206,Monitoring!$B$25:$H$390,3,FALSE)),'!'!$GJ$15)</f>
        <v>N</v>
      </c>
      <c r="E206" s="285"/>
      <c r="F206" s="254"/>
      <c r="G206" s="151" t="str">
        <f>IF(D206='!'!$GJ$15,'!'!$GJ$15,(SUM(W206,X206,Y206,Z205,Q206)))</f>
        <v>N</v>
      </c>
      <c r="H206" s="51"/>
      <c r="I206" s="299" t="str">
        <f>IF($I$12="","",IFERROR(IF(Report!$D$4='!'!$HE$4,VLOOKUP(A206,Reference!$B$25:$H$390,4,FALSE),VLOOKUP(A206,Monitoring!$B$25:$H$390,4,FALSE)),""))</f>
        <v/>
      </c>
      <c r="J206" s="256"/>
      <c r="K206" s="299" t="str">
        <f>IF($K$12="","",IFERROR(IF(Report!$D$4='!'!$HE$4,VLOOKUP(A206,Reference!$B$25:$H$390,5,FALSE),VLOOKUP(A206,Monitoring!$B$25:$H$390,5,FALSE)),""))</f>
        <v/>
      </c>
      <c r="L206" s="256"/>
      <c r="M206" s="299" t="str">
        <f>IF($M$12="","",IFERROR(IF(Report!$D$4='!'!$HE$4,VLOOKUP(A206,Reference!$B$25:$H$390,6,FALSE),VLOOKUP(A206,Monitoring!$B$25:$H$390,6,FALSE)),""))</f>
        <v/>
      </c>
      <c r="N206" s="256"/>
      <c r="O206" s="299" t="str">
        <f>IF($O$12="","",IFERROR(IF(Report!$D$4='!'!$HE$4,VLOOKUP(A206,Reference!$B$25:$H$390,7,FALSE),VLOOKUP(A206,Monitoring!$B$25:$H$390,7,FALSE)),""))</f>
        <v/>
      </c>
      <c r="P206" s="51"/>
      <c r="Q206" s="151" t="str">
        <f>IF(B206='!'!$GJ$15,'!'!$GJ$15,$Q$12)</f>
        <v>N</v>
      </c>
      <c r="S206" s="4" t="str">
        <f>IFERROR(ABS(T206),'!'!$GJ$15)</f>
        <v>N</v>
      </c>
      <c r="T206" s="84" t="str">
        <f>IFERROR(+G206-D206,'!'!$GJ$15)</f>
        <v>N</v>
      </c>
      <c r="U206" s="64" t="str">
        <f t="shared" si="5"/>
        <v>N</v>
      </c>
      <c r="W206" s="153" t="str">
        <f>IFERROR(I$10*I206,'!'!$GJ$15)</f>
        <v>N</v>
      </c>
      <c r="X206" s="153" t="str">
        <f>IFERROR(K$10*K206,'!'!$GJ$15)</f>
        <v>N</v>
      </c>
      <c r="Y206" s="153" t="str">
        <f>IFERROR(M$10*M206,'!'!$GJ$15)</f>
        <v>N</v>
      </c>
      <c r="Z206" s="153" t="str">
        <f>IFERROR(O$10*O207,'!'!$GJ$15)</f>
        <v>N</v>
      </c>
    </row>
    <row r="207" spans="1:26" x14ac:dyDescent="0.35">
      <c r="A207" s="4">
        <f t="shared" si="4"/>
        <v>183</v>
      </c>
      <c r="B207" s="286" t="str">
        <f>IFERROR(IF(Report!$D$4='!'!$HE$4,VLOOKUP(A207,Reference!$B$25:$H$390,2,FALSE),VLOOKUP(A207,Monitoring!$B$25:$H$390,2,FALSE)),'!'!$GJ$15)</f>
        <v>N</v>
      </c>
      <c r="C207" s="58" t="str">
        <f>Reference!A207</f>
        <v/>
      </c>
      <c r="D207" s="287" t="str">
        <f>IFERROR(IF(Report!$D$4='!'!$HE$4,VLOOKUP(A207,Reference!$B$25:$H$390,3,FALSE),VLOOKUP(A207,Monitoring!$B$25:$H$390,3,FALSE)),'!'!$GJ$15)</f>
        <v>N</v>
      </c>
      <c r="E207" s="285"/>
      <c r="F207" s="254"/>
      <c r="G207" s="151" t="str">
        <f>IF(D207='!'!$GJ$15,'!'!$GJ$15,(SUM(W207,X207,Y207,Z206,Q207)))</f>
        <v>N</v>
      </c>
      <c r="H207" s="51"/>
      <c r="I207" s="299" t="str">
        <f>IF($I$12="","",IFERROR(IF(Report!$D$4='!'!$HE$4,VLOOKUP(A207,Reference!$B$25:$H$390,4,FALSE),VLOOKUP(A207,Monitoring!$B$25:$H$390,4,FALSE)),""))</f>
        <v/>
      </c>
      <c r="J207" s="256"/>
      <c r="K207" s="299" t="str">
        <f>IF($K$12="","",IFERROR(IF(Report!$D$4='!'!$HE$4,VLOOKUP(A207,Reference!$B$25:$H$390,5,FALSE),VLOOKUP(A207,Monitoring!$B$25:$H$390,5,FALSE)),""))</f>
        <v/>
      </c>
      <c r="L207" s="256"/>
      <c r="M207" s="299" t="str">
        <f>IF($M$12="","",IFERROR(IF(Report!$D$4='!'!$HE$4,VLOOKUP(A207,Reference!$B$25:$H$390,6,FALSE),VLOOKUP(A207,Monitoring!$B$25:$H$390,6,FALSE)),""))</f>
        <v/>
      </c>
      <c r="N207" s="256"/>
      <c r="O207" s="299" t="str">
        <f>IF($O$12="","",IFERROR(IF(Report!$D$4='!'!$HE$4,VLOOKUP(A207,Reference!$B$25:$H$390,7,FALSE),VLOOKUP(A207,Monitoring!$B$25:$H$390,7,FALSE)),""))</f>
        <v/>
      </c>
      <c r="P207" s="51"/>
      <c r="Q207" s="151" t="str">
        <f>IF(B207='!'!$GJ$15,'!'!$GJ$15,$Q$12)</f>
        <v>N</v>
      </c>
      <c r="S207" s="4" t="str">
        <f>IFERROR(ABS(T207),'!'!$GJ$15)</f>
        <v>N</v>
      </c>
      <c r="T207" s="84" t="str">
        <f>IFERROR(+G207-D207,'!'!$GJ$15)</f>
        <v>N</v>
      </c>
      <c r="U207" s="64" t="str">
        <f t="shared" si="5"/>
        <v>N</v>
      </c>
      <c r="W207" s="153" t="str">
        <f>IFERROR(I$10*I207,'!'!$GJ$15)</f>
        <v>N</v>
      </c>
      <c r="X207" s="153" t="str">
        <f>IFERROR(K$10*K207,'!'!$GJ$15)</f>
        <v>N</v>
      </c>
      <c r="Y207" s="153" t="str">
        <f>IFERROR(M$10*M207,'!'!$GJ$15)</f>
        <v>N</v>
      </c>
      <c r="Z207" s="153" t="str">
        <f>IFERROR(O$10*O208,'!'!$GJ$15)</f>
        <v>N</v>
      </c>
    </row>
    <row r="208" spans="1:26" x14ac:dyDescent="0.35">
      <c r="A208" s="4">
        <f t="shared" si="4"/>
        <v>184</v>
      </c>
      <c r="B208" s="286" t="str">
        <f>IFERROR(IF(Report!$D$4='!'!$HE$4,VLOOKUP(A208,Reference!$B$25:$H$390,2,FALSE),VLOOKUP(A208,Monitoring!$B$25:$H$390,2,FALSE)),'!'!$GJ$15)</f>
        <v>N</v>
      </c>
      <c r="C208" s="58" t="str">
        <f>Reference!A208</f>
        <v/>
      </c>
      <c r="D208" s="287" t="str">
        <f>IFERROR(IF(Report!$D$4='!'!$HE$4,VLOOKUP(A208,Reference!$B$25:$H$390,3,FALSE),VLOOKUP(A208,Monitoring!$B$25:$H$390,3,FALSE)),'!'!$GJ$15)</f>
        <v>N</v>
      </c>
      <c r="E208" s="285"/>
      <c r="F208" s="254"/>
      <c r="G208" s="151" t="str">
        <f>IF(D208='!'!$GJ$15,'!'!$GJ$15,(SUM(W208,X208,Y208,Z207,Q208)))</f>
        <v>N</v>
      </c>
      <c r="H208" s="51"/>
      <c r="I208" s="299" t="str">
        <f>IF($I$12="","",IFERROR(IF(Report!$D$4='!'!$HE$4,VLOOKUP(A208,Reference!$B$25:$H$390,4,FALSE),VLOOKUP(A208,Monitoring!$B$25:$H$390,4,FALSE)),""))</f>
        <v/>
      </c>
      <c r="J208" s="256"/>
      <c r="K208" s="299" t="str">
        <f>IF($K$12="","",IFERROR(IF(Report!$D$4='!'!$HE$4,VLOOKUP(A208,Reference!$B$25:$H$390,5,FALSE),VLOOKUP(A208,Monitoring!$B$25:$H$390,5,FALSE)),""))</f>
        <v/>
      </c>
      <c r="L208" s="256"/>
      <c r="M208" s="299" t="str">
        <f>IF($M$12="","",IFERROR(IF(Report!$D$4='!'!$HE$4,VLOOKUP(A208,Reference!$B$25:$H$390,6,FALSE),VLOOKUP(A208,Monitoring!$B$25:$H$390,6,FALSE)),""))</f>
        <v/>
      </c>
      <c r="N208" s="256"/>
      <c r="O208" s="299" t="str">
        <f>IF($O$12="","",IFERROR(IF(Report!$D$4='!'!$HE$4,VLOOKUP(A208,Reference!$B$25:$H$390,7,FALSE),VLOOKUP(A208,Monitoring!$B$25:$H$390,7,FALSE)),""))</f>
        <v/>
      </c>
      <c r="P208" s="51"/>
      <c r="Q208" s="151" t="str">
        <f>IF(B208='!'!$GJ$15,'!'!$GJ$15,$Q$12)</f>
        <v>N</v>
      </c>
      <c r="S208" s="4" t="str">
        <f>IFERROR(ABS(T208),'!'!$GJ$15)</f>
        <v>N</v>
      </c>
      <c r="T208" s="84" t="str">
        <f>IFERROR(+G208-D208,'!'!$GJ$15)</f>
        <v>N</v>
      </c>
      <c r="U208" s="64" t="str">
        <f t="shared" si="5"/>
        <v>N</v>
      </c>
      <c r="W208" s="153" t="str">
        <f>IFERROR(I$10*I208,'!'!$GJ$15)</f>
        <v>N</v>
      </c>
      <c r="X208" s="153" t="str">
        <f>IFERROR(K$10*K208,'!'!$GJ$15)</f>
        <v>N</v>
      </c>
      <c r="Y208" s="153" t="str">
        <f>IFERROR(M$10*M208,'!'!$GJ$15)</f>
        <v>N</v>
      </c>
      <c r="Z208" s="153" t="str">
        <f>IFERROR(O$10*O209,'!'!$GJ$15)</f>
        <v>N</v>
      </c>
    </row>
    <row r="209" spans="1:26" x14ac:dyDescent="0.35">
      <c r="A209" s="4">
        <f t="shared" si="4"/>
        <v>185</v>
      </c>
      <c r="B209" s="286" t="str">
        <f>IFERROR(IF(Report!$D$4='!'!$HE$4,VLOOKUP(A209,Reference!$B$25:$H$390,2,FALSE),VLOOKUP(A209,Monitoring!$B$25:$H$390,2,FALSE)),'!'!$GJ$15)</f>
        <v>N</v>
      </c>
      <c r="C209" s="58" t="str">
        <f>Reference!A209</f>
        <v/>
      </c>
      <c r="D209" s="287" t="str">
        <f>IFERROR(IF(Report!$D$4='!'!$HE$4,VLOOKUP(A209,Reference!$B$25:$H$390,3,FALSE),VLOOKUP(A209,Monitoring!$B$25:$H$390,3,FALSE)),'!'!$GJ$15)</f>
        <v>N</v>
      </c>
      <c r="E209" s="285"/>
      <c r="F209" s="254"/>
      <c r="G209" s="151" t="str">
        <f>IF(D209='!'!$GJ$15,'!'!$GJ$15,(SUM(W209,X209,Y209,Z208,Q209)))</f>
        <v>N</v>
      </c>
      <c r="H209" s="51"/>
      <c r="I209" s="299" t="str">
        <f>IF($I$12="","",IFERROR(IF(Report!$D$4='!'!$HE$4,VLOOKUP(A209,Reference!$B$25:$H$390,4,FALSE),VLOOKUP(A209,Monitoring!$B$25:$H$390,4,FALSE)),""))</f>
        <v/>
      </c>
      <c r="J209" s="256"/>
      <c r="K209" s="299" t="str">
        <f>IF($K$12="","",IFERROR(IF(Report!$D$4='!'!$HE$4,VLOOKUP(A209,Reference!$B$25:$H$390,5,FALSE),VLOOKUP(A209,Monitoring!$B$25:$H$390,5,FALSE)),""))</f>
        <v/>
      </c>
      <c r="L209" s="256"/>
      <c r="M209" s="299" t="str">
        <f>IF($M$12="","",IFERROR(IF(Report!$D$4='!'!$HE$4,VLOOKUP(A209,Reference!$B$25:$H$390,6,FALSE),VLOOKUP(A209,Monitoring!$B$25:$H$390,6,FALSE)),""))</f>
        <v/>
      </c>
      <c r="N209" s="256"/>
      <c r="O209" s="299" t="str">
        <f>IF($O$12="","",IFERROR(IF(Report!$D$4='!'!$HE$4,VLOOKUP(A209,Reference!$B$25:$H$390,7,FALSE),VLOOKUP(A209,Monitoring!$B$25:$H$390,7,FALSE)),""))</f>
        <v/>
      </c>
      <c r="P209" s="51"/>
      <c r="Q209" s="151" t="str">
        <f>IF(B209='!'!$GJ$15,'!'!$GJ$15,$Q$12)</f>
        <v>N</v>
      </c>
      <c r="S209" s="4" t="str">
        <f>IFERROR(ABS(T209),'!'!$GJ$15)</f>
        <v>N</v>
      </c>
      <c r="T209" s="84" t="str">
        <f>IFERROR(+G209-D209,'!'!$GJ$15)</f>
        <v>N</v>
      </c>
      <c r="U209" s="64" t="str">
        <f t="shared" si="5"/>
        <v>N</v>
      </c>
      <c r="W209" s="153" t="str">
        <f>IFERROR(I$10*I209,'!'!$GJ$15)</f>
        <v>N</v>
      </c>
      <c r="X209" s="153" t="str">
        <f>IFERROR(K$10*K209,'!'!$GJ$15)</f>
        <v>N</v>
      </c>
      <c r="Y209" s="153" t="str">
        <f>IFERROR(M$10*M209,'!'!$GJ$15)</f>
        <v>N</v>
      </c>
      <c r="Z209" s="153" t="str">
        <f>IFERROR(O$10*O210,'!'!$GJ$15)</f>
        <v>N</v>
      </c>
    </row>
    <row r="210" spans="1:26" x14ac:dyDescent="0.35">
      <c r="A210" s="4">
        <f t="shared" si="4"/>
        <v>186</v>
      </c>
      <c r="B210" s="286" t="str">
        <f>IFERROR(IF(Report!$D$4='!'!$HE$4,VLOOKUP(A210,Reference!$B$25:$H$390,2,FALSE),VLOOKUP(A210,Monitoring!$B$25:$H$390,2,FALSE)),'!'!$GJ$15)</f>
        <v>N</v>
      </c>
      <c r="C210" s="58" t="str">
        <f>Reference!A210</f>
        <v/>
      </c>
      <c r="D210" s="287" t="str">
        <f>IFERROR(IF(Report!$D$4='!'!$HE$4,VLOOKUP(A210,Reference!$B$25:$H$390,3,FALSE),VLOOKUP(A210,Monitoring!$B$25:$H$390,3,FALSE)),'!'!$GJ$15)</f>
        <v>N</v>
      </c>
      <c r="E210" s="285"/>
      <c r="F210" s="254"/>
      <c r="G210" s="151" t="str">
        <f>IF(D210='!'!$GJ$15,'!'!$GJ$15,(SUM(W210,X210,Y210,Z209,Q210)))</f>
        <v>N</v>
      </c>
      <c r="H210" s="51"/>
      <c r="I210" s="299" t="str">
        <f>IF($I$12="","",IFERROR(IF(Report!$D$4='!'!$HE$4,VLOOKUP(A210,Reference!$B$25:$H$390,4,FALSE),VLOOKUP(A210,Monitoring!$B$25:$H$390,4,FALSE)),""))</f>
        <v/>
      </c>
      <c r="J210" s="256"/>
      <c r="K210" s="299" t="str">
        <f>IF($K$12="","",IFERROR(IF(Report!$D$4='!'!$HE$4,VLOOKUP(A210,Reference!$B$25:$H$390,5,FALSE),VLOOKUP(A210,Monitoring!$B$25:$H$390,5,FALSE)),""))</f>
        <v/>
      </c>
      <c r="L210" s="256"/>
      <c r="M210" s="299" t="str">
        <f>IF($M$12="","",IFERROR(IF(Report!$D$4='!'!$HE$4,VLOOKUP(A210,Reference!$B$25:$H$390,6,FALSE),VLOOKUP(A210,Monitoring!$B$25:$H$390,6,FALSE)),""))</f>
        <v/>
      </c>
      <c r="N210" s="256"/>
      <c r="O210" s="299" t="str">
        <f>IF($O$12="","",IFERROR(IF(Report!$D$4='!'!$HE$4,VLOOKUP(A210,Reference!$B$25:$H$390,7,FALSE),VLOOKUP(A210,Monitoring!$B$25:$H$390,7,FALSE)),""))</f>
        <v/>
      </c>
      <c r="P210" s="51"/>
      <c r="Q210" s="151" t="str">
        <f>IF(B210='!'!$GJ$15,'!'!$GJ$15,$Q$12)</f>
        <v>N</v>
      </c>
      <c r="S210" s="4" t="str">
        <f>IFERROR(ABS(T210),'!'!$GJ$15)</f>
        <v>N</v>
      </c>
      <c r="T210" s="84" t="str">
        <f>IFERROR(+G210-D210,'!'!$GJ$15)</f>
        <v>N</v>
      </c>
      <c r="U210" s="64" t="str">
        <f t="shared" si="5"/>
        <v>N</v>
      </c>
      <c r="W210" s="153" t="str">
        <f>IFERROR(I$10*I210,'!'!$GJ$15)</f>
        <v>N</v>
      </c>
      <c r="X210" s="153" t="str">
        <f>IFERROR(K$10*K210,'!'!$GJ$15)</f>
        <v>N</v>
      </c>
      <c r="Y210" s="153" t="str">
        <f>IFERROR(M$10*M210,'!'!$GJ$15)</f>
        <v>N</v>
      </c>
      <c r="Z210" s="153" t="str">
        <f>IFERROR(O$10*O211,'!'!$GJ$15)</f>
        <v>N</v>
      </c>
    </row>
    <row r="211" spans="1:26" x14ac:dyDescent="0.35">
      <c r="A211" s="4">
        <f t="shared" si="4"/>
        <v>187</v>
      </c>
      <c r="B211" s="286" t="str">
        <f>IFERROR(IF(Report!$D$4='!'!$HE$4,VLOOKUP(A211,Reference!$B$25:$H$390,2,FALSE),VLOOKUP(A211,Monitoring!$B$25:$H$390,2,FALSE)),'!'!$GJ$15)</f>
        <v>N</v>
      </c>
      <c r="C211" s="58" t="str">
        <f>Reference!A211</f>
        <v/>
      </c>
      <c r="D211" s="287" t="str">
        <f>IFERROR(IF(Report!$D$4='!'!$HE$4,VLOOKUP(A211,Reference!$B$25:$H$390,3,FALSE),VLOOKUP(A211,Monitoring!$B$25:$H$390,3,FALSE)),'!'!$GJ$15)</f>
        <v>N</v>
      </c>
      <c r="E211" s="285"/>
      <c r="F211" s="254"/>
      <c r="G211" s="151" t="str">
        <f>IF(D211='!'!$GJ$15,'!'!$GJ$15,(SUM(W211,X211,Y211,Z210,Q211)))</f>
        <v>N</v>
      </c>
      <c r="H211" s="51"/>
      <c r="I211" s="299" t="str">
        <f>IF($I$12="","",IFERROR(IF(Report!$D$4='!'!$HE$4,VLOOKUP(A211,Reference!$B$25:$H$390,4,FALSE),VLOOKUP(A211,Monitoring!$B$25:$H$390,4,FALSE)),""))</f>
        <v/>
      </c>
      <c r="J211" s="256"/>
      <c r="K211" s="299" t="str">
        <f>IF($K$12="","",IFERROR(IF(Report!$D$4='!'!$HE$4,VLOOKUP(A211,Reference!$B$25:$H$390,5,FALSE),VLOOKUP(A211,Monitoring!$B$25:$H$390,5,FALSE)),""))</f>
        <v/>
      </c>
      <c r="L211" s="256"/>
      <c r="M211" s="299" t="str">
        <f>IF($M$12="","",IFERROR(IF(Report!$D$4='!'!$HE$4,VLOOKUP(A211,Reference!$B$25:$H$390,6,FALSE),VLOOKUP(A211,Monitoring!$B$25:$H$390,6,FALSE)),""))</f>
        <v/>
      </c>
      <c r="N211" s="256"/>
      <c r="O211" s="299" t="str">
        <f>IF($O$12="","",IFERROR(IF(Report!$D$4='!'!$HE$4,VLOOKUP(A211,Reference!$B$25:$H$390,7,FALSE),VLOOKUP(A211,Monitoring!$B$25:$H$390,7,FALSE)),""))</f>
        <v/>
      </c>
      <c r="P211" s="51"/>
      <c r="Q211" s="151" t="str">
        <f>IF(B211='!'!$GJ$15,'!'!$GJ$15,$Q$12)</f>
        <v>N</v>
      </c>
      <c r="S211" s="4" t="str">
        <f>IFERROR(ABS(T211),'!'!$GJ$15)</f>
        <v>N</v>
      </c>
      <c r="T211" s="84" t="str">
        <f>IFERROR(+G211-D211,'!'!$GJ$15)</f>
        <v>N</v>
      </c>
      <c r="U211" s="64" t="str">
        <f t="shared" si="5"/>
        <v>N</v>
      </c>
      <c r="W211" s="153" t="str">
        <f>IFERROR(I$10*I211,'!'!$GJ$15)</f>
        <v>N</v>
      </c>
      <c r="X211" s="153" t="str">
        <f>IFERROR(K$10*K211,'!'!$GJ$15)</f>
        <v>N</v>
      </c>
      <c r="Y211" s="153" t="str">
        <f>IFERROR(M$10*M211,'!'!$GJ$15)</f>
        <v>N</v>
      </c>
      <c r="Z211" s="153" t="str">
        <f>IFERROR(O$10*O212,'!'!$GJ$15)</f>
        <v>N</v>
      </c>
    </row>
    <row r="212" spans="1:26" x14ac:dyDescent="0.35">
      <c r="A212" s="4">
        <f t="shared" si="4"/>
        <v>188</v>
      </c>
      <c r="B212" s="286" t="str">
        <f>IFERROR(IF(Report!$D$4='!'!$HE$4,VLOOKUP(A212,Reference!$B$25:$H$390,2,FALSE),VLOOKUP(A212,Monitoring!$B$25:$H$390,2,FALSE)),'!'!$GJ$15)</f>
        <v>N</v>
      </c>
      <c r="C212" s="58" t="str">
        <f>Reference!A212</f>
        <v/>
      </c>
      <c r="D212" s="287" t="str">
        <f>IFERROR(IF(Report!$D$4='!'!$HE$4,VLOOKUP(A212,Reference!$B$25:$H$390,3,FALSE),VLOOKUP(A212,Monitoring!$B$25:$H$390,3,FALSE)),'!'!$GJ$15)</f>
        <v>N</v>
      </c>
      <c r="E212" s="285"/>
      <c r="F212" s="254"/>
      <c r="G212" s="151" t="str">
        <f>IF(D212='!'!$GJ$15,'!'!$GJ$15,(SUM(W212,X212,Y212,Z211,Q212)))</f>
        <v>N</v>
      </c>
      <c r="H212" s="51"/>
      <c r="I212" s="299" t="str">
        <f>IF($I$12="","",IFERROR(IF(Report!$D$4='!'!$HE$4,VLOOKUP(A212,Reference!$B$25:$H$390,4,FALSE),VLOOKUP(A212,Monitoring!$B$25:$H$390,4,FALSE)),""))</f>
        <v/>
      </c>
      <c r="J212" s="256"/>
      <c r="K212" s="299" t="str">
        <f>IF($K$12="","",IFERROR(IF(Report!$D$4='!'!$HE$4,VLOOKUP(A212,Reference!$B$25:$H$390,5,FALSE),VLOOKUP(A212,Monitoring!$B$25:$H$390,5,FALSE)),""))</f>
        <v/>
      </c>
      <c r="L212" s="256"/>
      <c r="M212" s="299" t="str">
        <f>IF($M$12="","",IFERROR(IF(Report!$D$4='!'!$HE$4,VLOOKUP(A212,Reference!$B$25:$H$390,6,FALSE),VLOOKUP(A212,Monitoring!$B$25:$H$390,6,FALSE)),""))</f>
        <v/>
      </c>
      <c r="N212" s="256"/>
      <c r="O212" s="299" t="str">
        <f>IF($O$12="","",IFERROR(IF(Report!$D$4='!'!$HE$4,VLOOKUP(A212,Reference!$B$25:$H$390,7,FALSE),VLOOKUP(A212,Monitoring!$B$25:$H$390,7,FALSE)),""))</f>
        <v/>
      </c>
      <c r="P212" s="51"/>
      <c r="Q212" s="151" t="str">
        <f>IF(B212='!'!$GJ$15,'!'!$GJ$15,$Q$12)</f>
        <v>N</v>
      </c>
      <c r="S212" s="4" t="str">
        <f>IFERROR(ABS(T212),'!'!$GJ$15)</f>
        <v>N</v>
      </c>
      <c r="T212" s="84" t="str">
        <f>IFERROR(+G212-D212,'!'!$GJ$15)</f>
        <v>N</v>
      </c>
      <c r="U212" s="64" t="str">
        <f t="shared" si="5"/>
        <v>N</v>
      </c>
      <c r="W212" s="153" t="str">
        <f>IFERROR(I$10*I212,'!'!$GJ$15)</f>
        <v>N</v>
      </c>
      <c r="X212" s="153" t="str">
        <f>IFERROR(K$10*K212,'!'!$GJ$15)</f>
        <v>N</v>
      </c>
      <c r="Y212" s="153" t="str">
        <f>IFERROR(M$10*M212,'!'!$GJ$15)</f>
        <v>N</v>
      </c>
      <c r="Z212" s="153" t="str">
        <f>IFERROR(O$10*O213,'!'!$GJ$15)</f>
        <v>N</v>
      </c>
    </row>
    <row r="213" spans="1:26" x14ac:dyDescent="0.35">
      <c r="A213" s="4">
        <f t="shared" si="4"/>
        <v>189</v>
      </c>
      <c r="B213" s="286" t="str">
        <f>IFERROR(IF(Report!$D$4='!'!$HE$4,VLOOKUP(A213,Reference!$B$25:$H$390,2,FALSE),VLOOKUP(A213,Monitoring!$B$25:$H$390,2,FALSE)),'!'!$GJ$15)</f>
        <v>N</v>
      </c>
      <c r="C213" s="58" t="str">
        <f>Reference!A213</f>
        <v/>
      </c>
      <c r="D213" s="287" t="str">
        <f>IFERROR(IF(Report!$D$4='!'!$HE$4,VLOOKUP(A213,Reference!$B$25:$H$390,3,FALSE),VLOOKUP(A213,Monitoring!$B$25:$H$390,3,FALSE)),'!'!$GJ$15)</f>
        <v>N</v>
      </c>
      <c r="E213" s="285"/>
      <c r="F213" s="254"/>
      <c r="G213" s="151" t="str">
        <f>IF(D213='!'!$GJ$15,'!'!$GJ$15,(SUM(W213,X213,Y213,Z212,Q213)))</f>
        <v>N</v>
      </c>
      <c r="H213" s="51"/>
      <c r="I213" s="299" t="str">
        <f>IF($I$12="","",IFERROR(IF(Report!$D$4='!'!$HE$4,VLOOKUP(A213,Reference!$B$25:$H$390,4,FALSE),VLOOKUP(A213,Monitoring!$B$25:$H$390,4,FALSE)),""))</f>
        <v/>
      </c>
      <c r="J213" s="256"/>
      <c r="K213" s="299" t="str">
        <f>IF($K$12="","",IFERROR(IF(Report!$D$4='!'!$HE$4,VLOOKUP(A213,Reference!$B$25:$H$390,5,FALSE),VLOOKUP(A213,Monitoring!$B$25:$H$390,5,FALSE)),""))</f>
        <v/>
      </c>
      <c r="L213" s="256"/>
      <c r="M213" s="299" t="str">
        <f>IF($M$12="","",IFERROR(IF(Report!$D$4='!'!$HE$4,VLOOKUP(A213,Reference!$B$25:$H$390,6,FALSE),VLOOKUP(A213,Monitoring!$B$25:$H$390,6,FALSE)),""))</f>
        <v/>
      </c>
      <c r="N213" s="256"/>
      <c r="O213" s="299" t="str">
        <f>IF($O$12="","",IFERROR(IF(Report!$D$4='!'!$HE$4,VLOOKUP(A213,Reference!$B$25:$H$390,7,FALSE),VLOOKUP(A213,Monitoring!$B$25:$H$390,7,FALSE)),""))</f>
        <v/>
      </c>
      <c r="P213" s="51"/>
      <c r="Q213" s="151" t="str">
        <f>IF(B213='!'!$GJ$15,'!'!$GJ$15,$Q$12)</f>
        <v>N</v>
      </c>
      <c r="S213" s="4" t="str">
        <f>IFERROR(ABS(T213),'!'!$GJ$15)</f>
        <v>N</v>
      </c>
      <c r="T213" s="84" t="str">
        <f>IFERROR(+G213-D213,'!'!$GJ$15)</f>
        <v>N</v>
      </c>
      <c r="U213" s="64" t="str">
        <f t="shared" si="5"/>
        <v>N</v>
      </c>
      <c r="W213" s="153" t="str">
        <f>IFERROR(I$10*I213,'!'!$GJ$15)</f>
        <v>N</v>
      </c>
      <c r="X213" s="153" t="str">
        <f>IFERROR(K$10*K213,'!'!$GJ$15)</f>
        <v>N</v>
      </c>
      <c r="Y213" s="153" t="str">
        <f>IFERROR(M$10*M213,'!'!$GJ$15)</f>
        <v>N</v>
      </c>
      <c r="Z213" s="153" t="str">
        <f>IFERROR(O$10*O214,'!'!$GJ$15)</f>
        <v>N</v>
      </c>
    </row>
    <row r="214" spans="1:26" x14ac:dyDescent="0.35">
      <c r="A214" s="4">
        <f t="shared" si="4"/>
        <v>190</v>
      </c>
      <c r="B214" s="286" t="str">
        <f>IFERROR(IF(Report!$D$4='!'!$HE$4,VLOOKUP(A214,Reference!$B$25:$H$390,2,FALSE),VLOOKUP(A214,Monitoring!$B$25:$H$390,2,FALSE)),'!'!$GJ$15)</f>
        <v>N</v>
      </c>
      <c r="C214" s="58" t="str">
        <f>Reference!A214</f>
        <v/>
      </c>
      <c r="D214" s="287" t="str">
        <f>IFERROR(IF(Report!$D$4='!'!$HE$4,VLOOKUP(A214,Reference!$B$25:$H$390,3,FALSE),VLOOKUP(A214,Monitoring!$B$25:$H$390,3,FALSE)),'!'!$GJ$15)</f>
        <v>N</v>
      </c>
      <c r="E214" s="285"/>
      <c r="F214" s="254"/>
      <c r="G214" s="151" t="str">
        <f>IF(D214='!'!$GJ$15,'!'!$GJ$15,(SUM(W214,X214,Y214,Z213,Q214)))</f>
        <v>N</v>
      </c>
      <c r="H214" s="51"/>
      <c r="I214" s="299" t="str">
        <f>IF($I$12="","",IFERROR(IF(Report!$D$4='!'!$HE$4,VLOOKUP(A214,Reference!$B$25:$H$390,4,FALSE),VLOOKUP(A214,Monitoring!$B$25:$H$390,4,FALSE)),""))</f>
        <v/>
      </c>
      <c r="J214" s="256"/>
      <c r="K214" s="299" t="str">
        <f>IF($K$12="","",IFERROR(IF(Report!$D$4='!'!$HE$4,VLOOKUP(A214,Reference!$B$25:$H$390,5,FALSE),VLOOKUP(A214,Monitoring!$B$25:$H$390,5,FALSE)),""))</f>
        <v/>
      </c>
      <c r="L214" s="256"/>
      <c r="M214" s="299" t="str">
        <f>IF($M$12="","",IFERROR(IF(Report!$D$4='!'!$HE$4,VLOOKUP(A214,Reference!$B$25:$H$390,6,FALSE),VLOOKUP(A214,Monitoring!$B$25:$H$390,6,FALSE)),""))</f>
        <v/>
      </c>
      <c r="N214" s="256"/>
      <c r="O214" s="299" t="str">
        <f>IF($O$12="","",IFERROR(IF(Report!$D$4='!'!$HE$4,VLOOKUP(A214,Reference!$B$25:$H$390,7,FALSE),VLOOKUP(A214,Monitoring!$B$25:$H$390,7,FALSE)),""))</f>
        <v/>
      </c>
      <c r="P214" s="51"/>
      <c r="Q214" s="151" t="str">
        <f>IF(B214='!'!$GJ$15,'!'!$GJ$15,$Q$12)</f>
        <v>N</v>
      </c>
      <c r="S214" s="4" t="str">
        <f>IFERROR(ABS(T214),'!'!$GJ$15)</f>
        <v>N</v>
      </c>
      <c r="T214" s="84" t="str">
        <f>IFERROR(+G214-D214,'!'!$GJ$15)</f>
        <v>N</v>
      </c>
      <c r="U214" s="64" t="str">
        <f t="shared" si="5"/>
        <v>N</v>
      </c>
      <c r="W214" s="153" t="str">
        <f>IFERROR(I$10*I214,'!'!$GJ$15)</f>
        <v>N</v>
      </c>
      <c r="X214" s="153" t="str">
        <f>IFERROR(K$10*K214,'!'!$GJ$15)</f>
        <v>N</v>
      </c>
      <c r="Y214" s="153" t="str">
        <f>IFERROR(M$10*M214,'!'!$GJ$15)</f>
        <v>N</v>
      </c>
      <c r="Z214" s="153" t="str">
        <f>IFERROR(O$10*O215,'!'!$GJ$15)</f>
        <v>N</v>
      </c>
    </row>
    <row r="215" spans="1:26" x14ac:dyDescent="0.35">
      <c r="A215" s="4">
        <f t="shared" si="4"/>
        <v>191</v>
      </c>
      <c r="B215" s="286" t="str">
        <f>IFERROR(IF(Report!$D$4='!'!$HE$4,VLOOKUP(A215,Reference!$B$25:$H$390,2,FALSE),VLOOKUP(A215,Monitoring!$B$25:$H$390,2,FALSE)),'!'!$GJ$15)</f>
        <v>N</v>
      </c>
      <c r="C215" s="58" t="str">
        <f>Reference!A215</f>
        <v/>
      </c>
      <c r="D215" s="287" t="str">
        <f>IFERROR(IF(Report!$D$4='!'!$HE$4,VLOOKUP(A215,Reference!$B$25:$H$390,3,FALSE),VLOOKUP(A215,Monitoring!$B$25:$H$390,3,FALSE)),'!'!$GJ$15)</f>
        <v>N</v>
      </c>
      <c r="E215" s="285"/>
      <c r="F215" s="254"/>
      <c r="G215" s="151" t="str">
        <f>IF(D215='!'!$GJ$15,'!'!$GJ$15,(SUM(W215,X215,Y215,Z214,Q215)))</f>
        <v>N</v>
      </c>
      <c r="H215" s="51"/>
      <c r="I215" s="299" t="str">
        <f>IF($I$12="","",IFERROR(IF(Report!$D$4='!'!$HE$4,VLOOKUP(A215,Reference!$B$25:$H$390,4,FALSE),VLOOKUP(A215,Monitoring!$B$25:$H$390,4,FALSE)),""))</f>
        <v/>
      </c>
      <c r="J215" s="256"/>
      <c r="K215" s="299" t="str">
        <f>IF($K$12="","",IFERROR(IF(Report!$D$4='!'!$HE$4,VLOOKUP(A215,Reference!$B$25:$H$390,5,FALSE),VLOOKUP(A215,Monitoring!$B$25:$H$390,5,FALSE)),""))</f>
        <v/>
      </c>
      <c r="L215" s="256"/>
      <c r="M215" s="299" t="str">
        <f>IF($M$12="","",IFERROR(IF(Report!$D$4='!'!$HE$4,VLOOKUP(A215,Reference!$B$25:$H$390,6,FALSE),VLOOKUP(A215,Monitoring!$B$25:$H$390,6,FALSE)),""))</f>
        <v/>
      </c>
      <c r="N215" s="256"/>
      <c r="O215" s="299" t="str">
        <f>IF($O$12="","",IFERROR(IF(Report!$D$4='!'!$HE$4,VLOOKUP(A215,Reference!$B$25:$H$390,7,FALSE),VLOOKUP(A215,Monitoring!$B$25:$H$390,7,FALSE)),""))</f>
        <v/>
      </c>
      <c r="P215" s="51"/>
      <c r="Q215" s="151" t="str">
        <f>IF(B215='!'!$GJ$15,'!'!$GJ$15,$Q$12)</f>
        <v>N</v>
      </c>
      <c r="S215" s="4" t="str">
        <f>IFERROR(ABS(T215),'!'!$GJ$15)</f>
        <v>N</v>
      </c>
      <c r="T215" s="84" t="str">
        <f>IFERROR(+G215-D215,'!'!$GJ$15)</f>
        <v>N</v>
      </c>
      <c r="U215" s="64" t="str">
        <f t="shared" si="5"/>
        <v>N</v>
      </c>
      <c r="W215" s="153" t="str">
        <f>IFERROR(I$10*I215,'!'!$GJ$15)</f>
        <v>N</v>
      </c>
      <c r="X215" s="153" t="str">
        <f>IFERROR(K$10*K215,'!'!$GJ$15)</f>
        <v>N</v>
      </c>
      <c r="Y215" s="153" t="str">
        <f>IFERROR(M$10*M215,'!'!$GJ$15)</f>
        <v>N</v>
      </c>
      <c r="Z215" s="153" t="str">
        <f>IFERROR(O$10*O216,'!'!$GJ$15)</f>
        <v>N</v>
      </c>
    </row>
    <row r="216" spans="1:26" x14ac:dyDescent="0.35">
      <c r="A216" s="4">
        <f t="shared" si="4"/>
        <v>192</v>
      </c>
      <c r="B216" s="286" t="str">
        <f>IFERROR(IF(Report!$D$4='!'!$HE$4,VLOOKUP(A216,Reference!$B$25:$H$390,2,FALSE),VLOOKUP(A216,Monitoring!$B$25:$H$390,2,FALSE)),'!'!$GJ$15)</f>
        <v>N</v>
      </c>
      <c r="C216" s="58" t="str">
        <f>Reference!A216</f>
        <v/>
      </c>
      <c r="D216" s="287" t="str">
        <f>IFERROR(IF(Report!$D$4='!'!$HE$4,VLOOKUP(A216,Reference!$B$25:$H$390,3,FALSE),VLOOKUP(A216,Monitoring!$B$25:$H$390,3,FALSE)),'!'!$GJ$15)</f>
        <v>N</v>
      </c>
      <c r="E216" s="285"/>
      <c r="F216" s="254"/>
      <c r="G216" s="151" t="str">
        <f>IF(D216='!'!$GJ$15,'!'!$GJ$15,(SUM(W216,X216,Y216,Z215,Q216)))</f>
        <v>N</v>
      </c>
      <c r="H216" s="51"/>
      <c r="I216" s="299" t="str">
        <f>IF($I$12="","",IFERROR(IF(Report!$D$4='!'!$HE$4,VLOOKUP(A216,Reference!$B$25:$H$390,4,FALSE),VLOOKUP(A216,Monitoring!$B$25:$H$390,4,FALSE)),""))</f>
        <v/>
      </c>
      <c r="J216" s="256"/>
      <c r="K216" s="299" t="str">
        <f>IF($K$12="","",IFERROR(IF(Report!$D$4='!'!$HE$4,VLOOKUP(A216,Reference!$B$25:$H$390,5,FALSE),VLOOKUP(A216,Monitoring!$B$25:$H$390,5,FALSE)),""))</f>
        <v/>
      </c>
      <c r="L216" s="256"/>
      <c r="M216" s="299" t="str">
        <f>IF($M$12="","",IFERROR(IF(Report!$D$4='!'!$HE$4,VLOOKUP(A216,Reference!$B$25:$H$390,6,FALSE),VLOOKUP(A216,Monitoring!$B$25:$H$390,6,FALSE)),""))</f>
        <v/>
      </c>
      <c r="N216" s="256"/>
      <c r="O216" s="299" t="str">
        <f>IF($O$12="","",IFERROR(IF(Report!$D$4='!'!$HE$4,VLOOKUP(A216,Reference!$B$25:$H$390,7,FALSE),VLOOKUP(A216,Monitoring!$B$25:$H$390,7,FALSE)),""))</f>
        <v/>
      </c>
      <c r="P216" s="51"/>
      <c r="Q216" s="151" t="str">
        <f>IF(B216='!'!$GJ$15,'!'!$GJ$15,$Q$12)</f>
        <v>N</v>
      </c>
      <c r="S216" s="4" t="str">
        <f>IFERROR(ABS(T216),'!'!$GJ$15)</f>
        <v>N</v>
      </c>
      <c r="T216" s="84" t="str">
        <f>IFERROR(+G216-D216,'!'!$GJ$15)</f>
        <v>N</v>
      </c>
      <c r="U216" s="64" t="str">
        <f t="shared" si="5"/>
        <v>N</v>
      </c>
      <c r="W216" s="153" t="str">
        <f>IFERROR(I$10*I216,'!'!$GJ$15)</f>
        <v>N</v>
      </c>
      <c r="X216" s="153" t="str">
        <f>IFERROR(K$10*K216,'!'!$GJ$15)</f>
        <v>N</v>
      </c>
      <c r="Y216" s="153" t="str">
        <f>IFERROR(M$10*M216,'!'!$GJ$15)</f>
        <v>N</v>
      </c>
      <c r="Z216" s="153" t="str">
        <f>IFERROR(O$10*O217,'!'!$GJ$15)</f>
        <v>N</v>
      </c>
    </row>
    <row r="217" spans="1:26" x14ac:dyDescent="0.35">
      <c r="A217" s="4">
        <f t="shared" si="4"/>
        <v>193</v>
      </c>
      <c r="B217" s="286" t="str">
        <f>IFERROR(IF(Report!$D$4='!'!$HE$4,VLOOKUP(A217,Reference!$B$25:$H$390,2,FALSE),VLOOKUP(A217,Monitoring!$B$25:$H$390,2,FALSE)),'!'!$GJ$15)</f>
        <v>N</v>
      </c>
      <c r="C217" s="58" t="str">
        <f>Reference!A217</f>
        <v/>
      </c>
      <c r="D217" s="287" t="str">
        <f>IFERROR(IF(Report!$D$4='!'!$HE$4,VLOOKUP(A217,Reference!$B$25:$H$390,3,FALSE),VLOOKUP(A217,Monitoring!$B$25:$H$390,3,FALSE)),'!'!$GJ$15)</f>
        <v>N</v>
      </c>
      <c r="E217" s="285"/>
      <c r="F217" s="254"/>
      <c r="G217" s="151" t="str">
        <f>IF(D217='!'!$GJ$15,'!'!$GJ$15,(SUM(W217,X217,Y217,Z216,Q217)))</f>
        <v>N</v>
      </c>
      <c r="H217" s="51"/>
      <c r="I217" s="299" t="str">
        <f>IF($I$12="","",IFERROR(IF(Report!$D$4='!'!$HE$4,VLOOKUP(A217,Reference!$B$25:$H$390,4,FALSE),VLOOKUP(A217,Monitoring!$B$25:$H$390,4,FALSE)),""))</f>
        <v/>
      </c>
      <c r="J217" s="256"/>
      <c r="K217" s="299" t="str">
        <f>IF($K$12="","",IFERROR(IF(Report!$D$4='!'!$HE$4,VLOOKUP(A217,Reference!$B$25:$H$390,5,FALSE),VLOOKUP(A217,Monitoring!$B$25:$H$390,5,FALSE)),""))</f>
        <v/>
      </c>
      <c r="L217" s="256"/>
      <c r="M217" s="299" t="str">
        <f>IF($M$12="","",IFERROR(IF(Report!$D$4='!'!$HE$4,VLOOKUP(A217,Reference!$B$25:$H$390,6,FALSE),VLOOKUP(A217,Monitoring!$B$25:$H$390,6,FALSE)),""))</f>
        <v/>
      </c>
      <c r="N217" s="256"/>
      <c r="O217" s="299" t="str">
        <f>IF($O$12="","",IFERROR(IF(Report!$D$4='!'!$HE$4,VLOOKUP(A217,Reference!$B$25:$H$390,7,FALSE),VLOOKUP(A217,Monitoring!$B$25:$H$390,7,FALSE)),""))</f>
        <v/>
      </c>
      <c r="P217" s="51"/>
      <c r="Q217" s="151" t="str">
        <f>IF(B217='!'!$GJ$15,'!'!$GJ$15,$Q$12)</f>
        <v>N</v>
      </c>
      <c r="S217" s="4" t="str">
        <f>IFERROR(ABS(T217),'!'!$GJ$15)</f>
        <v>N</v>
      </c>
      <c r="T217" s="84" t="str">
        <f>IFERROR(+G217-D217,'!'!$GJ$15)</f>
        <v>N</v>
      </c>
      <c r="U217" s="64" t="str">
        <f t="shared" si="5"/>
        <v>N</v>
      </c>
      <c r="W217" s="153" t="str">
        <f>IFERROR(I$10*I217,'!'!$GJ$15)</f>
        <v>N</v>
      </c>
      <c r="X217" s="153" t="str">
        <f>IFERROR(K$10*K217,'!'!$GJ$15)</f>
        <v>N</v>
      </c>
      <c r="Y217" s="153" t="str">
        <f>IFERROR(M$10*M217,'!'!$GJ$15)</f>
        <v>N</v>
      </c>
      <c r="Z217" s="153" t="str">
        <f>IFERROR(O$10*O218,'!'!$GJ$15)</f>
        <v>N</v>
      </c>
    </row>
    <row r="218" spans="1:26" x14ac:dyDescent="0.35">
      <c r="A218" s="4">
        <f t="shared" ref="A218:A281" si="6">A217+1</f>
        <v>194</v>
      </c>
      <c r="B218" s="286" t="str">
        <f>IFERROR(IF(Report!$D$4='!'!$HE$4,VLOOKUP(A218,Reference!$B$25:$H$390,2,FALSE),VLOOKUP(A218,Monitoring!$B$25:$H$390,2,FALSE)),'!'!$GJ$15)</f>
        <v>N</v>
      </c>
      <c r="C218" s="58" t="str">
        <f>Reference!A218</f>
        <v/>
      </c>
      <c r="D218" s="287" t="str">
        <f>IFERROR(IF(Report!$D$4='!'!$HE$4,VLOOKUP(A218,Reference!$B$25:$H$390,3,FALSE),VLOOKUP(A218,Monitoring!$B$25:$H$390,3,FALSE)),'!'!$GJ$15)</f>
        <v>N</v>
      </c>
      <c r="E218" s="285"/>
      <c r="F218" s="254"/>
      <c r="G218" s="151" t="str">
        <f>IF(D218='!'!$GJ$15,'!'!$GJ$15,(SUM(W218,X218,Y218,Z217,Q218)))</f>
        <v>N</v>
      </c>
      <c r="H218" s="51"/>
      <c r="I218" s="299" t="str">
        <f>IF($I$12="","",IFERROR(IF(Report!$D$4='!'!$HE$4,VLOOKUP(A218,Reference!$B$25:$H$390,4,FALSE),VLOOKUP(A218,Monitoring!$B$25:$H$390,4,FALSE)),""))</f>
        <v/>
      </c>
      <c r="J218" s="256"/>
      <c r="K218" s="299" t="str">
        <f>IF($K$12="","",IFERROR(IF(Report!$D$4='!'!$HE$4,VLOOKUP(A218,Reference!$B$25:$H$390,5,FALSE),VLOOKUP(A218,Monitoring!$B$25:$H$390,5,FALSE)),""))</f>
        <v/>
      </c>
      <c r="L218" s="256"/>
      <c r="M218" s="299" t="str">
        <f>IF($M$12="","",IFERROR(IF(Report!$D$4='!'!$HE$4,VLOOKUP(A218,Reference!$B$25:$H$390,6,FALSE),VLOOKUP(A218,Monitoring!$B$25:$H$390,6,FALSE)),""))</f>
        <v/>
      </c>
      <c r="N218" s="256"/>
      <c r="O218" s="299" t="str">
        <f>IF($O$12="","",IFERROR(IF(Report!$D$4='!'!$HE$4,VLOOKUP(A218,Reference!$B$25:$H$390,7,FALSE),VLOOKUP(A218,Monitoring!$B$25:$H$390,7,FALSE)),""))</f>
        <v/>
      </c>
      <c r="P218" s="51"/>
      <c r="Q218" s="151" t="str">
        <f>IF(B218='!'!$GJ$15,'!'!$GJ$15,$Q$12)</f>
        <v>N</v>
      </c>
      <c r="S218" s="4" t="str">
        <f>IFERROR(ABS(T218),'!'!$GJ$15)</f>
        <v>N</v>
      </c>
      <c r="T218" s="84" t="str">
        <f>IFERROR(+G218-D218,'!'!$GJ$15)</f>
        <v>N</v>
      </c>
      <c r="U218" s="64" t="str">
        <f t="shared" ref="U218:U281" si="7">B218</f>
        <v>N</v>
      </c>
      <c r="W218" s="153" t="str">
        <f>IFERROR(I$10*I218,'!'!$GJ$15)</f>
        <v>N</v>
      </c>
      <c r="X218" s="153" t="str">
        <f>IFERROR(K$10*K218,'!'!$GJ$15)</f>
        <v>N</v>
      </c>
      <c r="Y218" s="153" t="str">
        <f>IFERROR(M$10*M218,'!'!$GJ$15)</f>
        <v>N</v>
      </c>
      <c r="Z218" s="153" t="str">
        <f>IFERROR(O$10*O219,'!'!$GJ$15)</f>
        <v>N</v>
      </c>
    </row>
    <row r="219" spans="1:26" x14ac:dyDescent="0.35">
      <c r="A219" s="4">
        <f t="shared" si="6"/>
        <v>195</v>
      </c>
      <c r="B219" s="286" t="str">
        <f>IFERROR(IF(Report!$D$4='!'!$HE$4,VLOOKUP(A219,Reference!$B$25:$H$390,2,FALSE),VLOOKUP(A219,Monitoring!$B$25:$H$390,2,FALSE)),'!'!$GJ$15)</f>
        <v>N</v>
      </c>
      <c r="C219" s="58" t="str">
        <f>Reference!A219</f>
        <v/>
      </c>
      <c r="D219" s="287" t="str">
        <f>IFERROR(IF(Report!$D$4='!'!$HE$4,VLOOKUP(A219,Reference!$B$25:$H$390,3,FALSE),VLOOKUP(A219,Monitoring!$B$25:$H$390,3,FALSE)),'!'!$GJ$15)</f>
        <v>N</v>
      </c>
      <c r="E219" s="285"/>
      <c r="F219" s="254"/>
      <c r="G219" s="151" t="str">
        <f>IF(D219='!'!$GJ$15,'!'!$GJ$15,(SUM(W219,X219,Y219,Z218,Q219)))</f>
        <v>N</v>
      </c>
      <c r="H219" s="51"/>
      <c r="I219" s="299" t="str">
        <f>IF($I$12="","",IFERROR(IF(Report!$D$4='!'!$HE$4,VLOOKUP(A219,Reference!$B$25:$H$390,4,FALSE),VLOOKUP(A219,Monitoring!$B$25:$H$390,4,FALSE)),""))</f>
        <v/>
      </c>
      <c r="J219" s="256"/>
      <c r="K219" s="299" t="str">
        <f>IF($K$12="","",IFERROR(IF(Report!$D$4='!'!$HE$4,VLOOKUP(A219,Reference!$B$25:$H$390,5,FALSE),VLOOKUP(A219,Monitoring!$B$25:$H$390,5,FALSE)),""))</f>
        <v/>
      </c>
      <c r="L219" s="256"/>
      <c r="M219" s="299" t="str">
        <f>IF($M$12="","",IFERROR(IF(Report!$D$4='!'!$HE$4,VLOOKUP(A219,Reference!$B$25:$H$390,6,FALSE),VLOOKUP(A219,Monitoring!$B$25:$H$390,6,FALSE)),""))</f>
        <v/>
      </c>
      <c r="N219" s="256"/>
      <c r="O219" s="299" t="str">
        <f>IF($O$12="","",IFERROR(IF(Report!$D$4='!'!$HE$4,VLOOKUP(A219,Reference!$B$25:$H$390,7,FALSE),VLOOKUP(A219,Monitoring!$B$25:$H$390,7,FALSE)),""))</f>
        <v/>
      </c>
      <c r="P219" s="51"/>
      <c r="Q219" s="151" t="str">
        <f>IF(B219='!'!$GJ$15,'!'!$GJ$15,$Q$12)</f>
        <v>N</v>
      </c>
      <c r="S219" s="4" t="str">
        <f>IFERROR(ABS(T219),'!'!$GJ$15)</f>
        <v>N</v>
      </c>
      <c r="T219" s="84" t="str">
        <f>IFERROR(+G219-D219,'!'!$GJ$15)</f>
        <v>N</v>
      </c>
      <c r="U219" s="64" t="str">
        <f t="shared" si="7"/>
        <v>N</v>
      </c>
      <c r="W219" s="153" t="str">
        <f>IFERROR(I$10*I219,'!'!$GJ$15)</f>
        <v>N</v>
      </c>
      <c r="X219" s="153" t="str">
        <f>IFERROR(K$10*K219,'!'!$GJ$15)</f>
        <v>N</v>
      </c>
      <c r="Y219" s="153" t="str">
        <f>IFERROR(M$10*M219,'!'!$GJ$15)</f>
        <v>N</v>
      </c>
      <c r="Z219" s="153" t="str">
        <f>IFERROR(O$10*O220,'!'!$GJ$15)</f>
        <v>N</v>
      </c>
    </row>
    <row r="220" spans="1:26" x14ac:dyDescent="0.35">
      <c r="A220" s="4">
        <f t="shared" si="6"/>
        <v>196</v>
      </c>
      <c r="B220" s="286" t="str">
        <f>IFERROR(IF(Report!$D$4='!'!$HE$4,VLOOKUP(A220,Reference!$B$25:$H$390,2,FALSE),VLOOKUP(A220,Monitoring!$B$25:$H$390,2,FALSE)),'!'!$GJ$15)</f>
        <v>N</v>
      </c>
      <c r="C220" s="58" t="str">
        <f>Reference!A220</f>
        <v/>
      </c>
      <c r="D220" s="287" t="str">
        <f>IFERROR(IF(Report!$D$4='!'!$HE$4,VLOOKUP(A220,Reference!$B$25:$H$390,3,FALSE),VLOOKUP(A220,Monitoring!$B$25:$H$390,3,FALSE)),'!'!$GJ$15)</f>
        <v>N</v>
      </c>
      <c r="E220" s="285"/>
      <c r="F220" s="254"/>
      <c r="G220" s="151" t="str">
        <f>IF(D220='!'!$GJ$15,'!'!$GJ$15,(SUM(W220,X220,Y220,Z219,Q220)))</f>
        <v>N</v>
      </c>
      <c r="H220" s="51"/>
      <c r="I220" s="299" t="str">
        <f>IF($I$12="","",IFERROR(IF(Report!$D$4='!'!$HE$4,VLOOKUP(A220,Reference!$B$25:$H$390,4,FALSE),VLOOKUP(A220,Monitoring!$B$25:$H$390,4,FALSE)),""))</f>
        <v/>
      </c>
      <c r="J220" s="256"/>
      <c r="K220" s="299" t="str">
        <f>IF($K$12="","",IFERROR(IF(Report!$D$4='!'!$HE$4,VLOOKUP(A220,Reference!$B$25:$H$390,5,FALSE),VLOOKUP(A220,Monitoring!$B$25:$H$390,5,FALSE)),""))</f>
        <v/>
      </c>
      <c r="L220" s="256"/>
      <c r="M220" s="299" t="str">
        <f>IF($M$12="","",IFERROR(IF(Report!$D$4='!'!$HE$4,VLOOKUP(A220,Reference!$B$25:$H$390,6,FALSE),VLOOKUP(A220,Monitoring!$B$25:$H$390,6,FALSE)),""))</f>
        <v/>
      </c>
      <c r="N220" s="256"/>
      <c r="O220" s="299" t="str">
        <f>IF($O$12="","",IFERROR(IF(Report!$D$4='!'!$HE$4,VLOOKUP(A220,Reference!$B$25:$H$390,7,FALSE),VLOOKUP(A220,Monitoring!$B$25:$H$390,7,FALSE)),""))</f>
        <v/>
      </c>
      <c r="P220" s="51"/>
      <c r="Q220" s="151" t="str">
        <f>IF(B220='!'!$GJ$15,'!'!$GJ$15,$Q$12)</f>
        <v>N</v>
      </c>
      <c r="S220" s="4" t="str">
        <f>IFERROR(ABS(T220),'!'!$GJ$15)</f>
        <v>N</v>
      </c>
      <c r="T220" s="84" t="str">
        <f>IFERROR(+G220-D220,'!'!$GJ$15)</f>
        <v>N</v>
      </c>
      <c r="U220" s="64" t="str">
        <f t="shared" si="7"/>
        <v>N</v>
      </c>
      <c r="W220" s="153" t="str">
        <f>IFERROR(I$10*I220,'!'!$GJ$15)</f>
        <v>N</v>
      </c>
      <c r="X220" s="153" t="str">
        <f>IFERROR(K$10*K220,'!'!$GJ$15)</f>
        <v>N</v>
      </c>
      <c r="Y220" s="153" t="str">
        <f>IFERROR(M$10*M220,'!'!$GJ$15)</f>
        <v>N</v>
      </c>
      <c r="Z220" s="153" t="str">
        <f>IFERROR(O$10*O221,'!'!$GJ$15)</f>
        <v>N</v>
      </c>
    </row>
    <row r="221" spans="1:26" x14ac:dyDescent="0.35">
      <c r="A221" s="4">
        <f t="shared" si="6"/>
        <v>197</v>
      </c>
      <c r="B221" s="286" t="str">
        <f>IFERROR(IF(Report!$D$4='!'!$HE$4,VLOOKUP(A221,Reference!$B$25:$H$390,2,FALSE),VLOOKUP(A221,Monitoring!$B$25:$H$390,2,FALSE)),'!'!$GJ$15)</f>
        <v>N</v>
      </c>
      <c r="C221" s="58" t="str">
        <f>Reference!A221</f>
        <v/>
      </c>
      <c r="D221" s="287" t="str">
        <f>IFERROR(IF(Report!$D$4='!'!$HE$4,VLOOKUP(A221,Reference!$B$25:$H$390,3,FALSE),VLOOKUP(A221,Monitoring!$B$25:$H$390,3,FALSE)),'!'!$GJ$15)</f>
        <v>N</v>
      </c>
      <c r="E221" s="285"/>
      <c r="F221" s="254"/>
      <c r="G221" s="151" t="str">
        <f>IF(D221='!'!$GJ$15,'!'!$GJ$15,(SUM(W221,X221,Y221,Z220,Q221)))</f>
        <v>N</v>
      </c>
      <c r="H221" s="51"/>
      <c r="I221" s="299" t="str">
        <f>IF($I$12="","",IFERROR(IF(Report!$D$4='!'!$HE$4,VLOOKUP(A221,Reference!$B$25:$H$390,4,FALSE),VLOOKUP(A221,Monitoring!$B$25:$H$390,4,FALSE)),""))</f>
        <v/>
      </c>
      <c r="J221" s="256"/>
      <c r="K221" s="299" t="str">
        <f>IF($K$12="","",IFERROR(IF(Report!$D$4='!'!$HE$4,VLOOKUP(A221,Reference!$B$25:$H$390,5,FALSE),VLOOKUP(A221,Monitoring!$B$25:$H$390,5,FALSE)),""))</f>
        <v/>
      </c>
      <c r="L221" s="256"/>
      <c r="M221" s="299" t="str">
        <f>IF($M$12="","",IFERROR(IF(Report!$D$4='!'!$HE$4,VLOOKUP(A221,Reference!$B$25:$H$390,6,FALSE),VLOOKUP(A221,Monitoring!$B$25:$H$390,6,FALSE)),""))</f>
        <v/>
      </c>
      <c r="N221" s="256"/>
      <c r="O221" s="299" t="str">
        <f>IF($O$12="","",IFERROR(IF(Report!$D$4='!'!$HE$4,VLOOKUP(A221,Reference!$B$25:$H$390,7,FALSE),VLOOKUP(A221,Monitoring!$B$25:$H$390,7,FALSE)),""))</f>
        <v/>
      </c>
      <c r="P221" s="51"/>
      <c r="Q221" s="151" t="str">
        <f>IF(B221='!'!$GJ$15,'!'!$GJ$15,$Q$12)</f>
        <v>N</v>
      </c>
      <c r="S221" s="4" t="str">
        <f>IFERROR(ABS(T221),'!'!$GJ$15)</f>
        <v>N</v>
      </c>
      <c r="T221" s="84" t="str">
        <f>IFERROR(+G221-D221,'!'!$GJ$15)</f>
        <v>N</v>
      </c>
      <c r="U221" s="64" t="str">
        <f t="shared" si="7"/>
        <v>N</v>
      </c>
      <c r="W221" s="153" t="str">
        <f>IFERROR(I$10*I221,'!'!$GJ$15)</f>
        <v>N</v>
      </c>
      <c r="X221" s="153" t="str">
        <f>IFERROR(K$10*K221,'!'!$GJ$15)</f>
        <v>N</v>
      </c>
      <c r="Y221" s="153" t="str">
        <f>IFERROR(M$10*M221,'!'!$GJ$15)</f>
        <v>N</v>
      </c>
      <c r="Z221" s="153" t="str">
        <f>IFERROR(O$10*O222,'!'!$GJ$15)</f>
        <v>N</v>
      </c>
    </row>
    <row r="222" spans="1:26" x14ac:dyDescent="0.35">
      <c r="A222" s="4">
        <f t="shared" si="6"/>
        <v>198</v>
      </c>
      <c r="B222" s="286" t="str">
        <f>IFERROR(IF(Report!$D$4='!'!$HE$4,VLOOKUP(A222,Reference!$B$25:$H$390,2,FALSE),VLOOKUP(A222,Monitoring!$B$25:$H$390,2,FALSE)),'!'!$GJ$15)</f>
        <v>N</v>
      </c>
      <c r="C222" s="58" t="str">
        <f>Reference!A222</f>
        <v/>
      </c>
      <c r="D222" s="287" t="str">
        <f>IFERROR(IF(Report!$D$4='!'!$HE$4,VLOOKUP(A222,Reference!$B$25:$H$390,3,FALSE),VLOOKUP(A222,Monitoring!$B$25:$H$390,3,FALSE)),'!'!$GJ$15)</f>
        <v>N</v>
      </c>
      <c r="E222" s="285"/>
      <c r="F222" s="254"/>
      <c r="G222" s="151" t="str">
        <f>IF(D222='!'!$GJ$15,'!'!$GJ$15,(SUM(W222,X222,Y222,Z221,Q222)))</f>
        <v>N</v>
      </c>
      <c r="H222" s="51"/>
      <c r="I222" s="299" t="str">
        <f>IF($I$12="","",IFERROR(IF(Report!$D$4='!'!$HE$4,VLOOKUP(A222,Reference!$B$25:$H$390,4,FALSE),VLOOKUP(A222,Monitoring!$B$25:$H$390,4,FALSE)),""))</f>
        <v/>
      </c>
      <c r="J222" s="256"/>
      <c r="K222" s="299" t="str">
        <f>IF($K$12="","",IFERROR(IF(Report!$D$4='!'!$HE$4,VLOOKUP(A222,Reference!$B$25:$H$390,5,FALSE),VLOOKUP(A222,Monitoring!$B$25:$H$390,5,FALSE)),""))</f>
        <v/>
      </c>
      <c r="L222" s="256"/>
      <c r="M222" s="299" t="str">
        <f>IF($M$12="","",IFERROR(IF(Report!$D$4='!'!$HE$4,VLOOKUP(A222,Reference!$B$25:$H$390,6,FALSE),VLOOKUP(A222,Monitoring!$B$25:$H$390,6,FALSE)),""))</f>
        <v/>
      </c>
      <c r="N222" s="256"/>
      <c r="O222" s="299" t="str">
        <f>IF($O$12="","",IFERROR(IF(Report!$D$4='!'!$HE$4,VLOOKUP(A222,Reference!$B$25:$H$390,7,FALSE),VLOOKUP(A222,Monitoring!$B$25:$H$390,7,FALSE)),""))</f>
        <v/>
      </c>
      <c r="P222" s="51"/>
      <c r="Q222" s="151" t="str">
        <f>IF(B222='!'!$GJ$15,'!'!$GJ$15,$Q$12)</f>
        <v>N</v>
      </c>
      <c r="S222" s="4" t="str">
        <f>IFERROR(ABS(T222),'!'!$GJ$15)</f>
        <v>N</v>
      </c>
      <c r="T222" s="84" t="str">
        <f>IFERROR(+G222-D222,'!'!$GJ$15)</f>
        <v>N</v>
      </c>
      <c r="U222" s="64" t="str">
        <f t="shared" si="7"/>
        <v>N</v>
      </c>
      <c r="W222" s="153" t="str">
        <f>IFERROR(I$10*I222,'!'!$GJ$15)</f>
        <v>N</v>
      </c>
      <c r="X222" s="153" t="str">
        <f>IFERROR(K$10*K222,'!'!$GJ$15)</f>
        <v>N</v>
      </c>
      <c r="Y222" s="153" t="str">
        <f>IFERROR(M$10*M222,'!'!$GJ$15)</f>
        <v>N</v>
      </c>
      <c r="Z222" s="153" t="str">
        <f>IFERROR(O$10*O223,'!'!$GJ$15)</f>
        <v>N</v>
      </c>
    </row>
    <row r="223" spans="1:26" x14ac:dyDescent="0.35">
      <c r="A223" s="4">
        <f t="shared" si="6"/>
        <v>199</v>
      </c>
      <c r="B223" s="286" t="str">
        <f>IFERROR(IF(Report!$D$4='!'!$HE$4,VLOOKUP(A223,Reference!$B$25:$H$390,2,FALSE),VLOOKUP(A223,Monitoring!$B$25:$H$390,2,FALSE)),'!'!$GJ$15)</f>
        <v>N</v>
      </c>
      <c r="C223" s="58" t="str">
        <f>Reference!A223</f>
        <v/>
      </c>
      <c r="D223" s="287" t="str">
        <f>IFERROR(IF(Report!$D$4='!'!$HE$4,VLOOKUP(A223,Reference!$B$25:$H$390,3,FALSE),VLOOKUP(A223,Monitoring!$B$25:$H$390,3,FALSE)),'!'!$GJ$15)</f>
        <v>N</v>
      </c>
      <c r="E223" s="285"/>
      <c r="F223" s="254"/>
      <c r="G223" s="151" t="str">
        <f>IF(D223='!'!$GJ$15,'!'!$GJ$15,(SUM(W223,X223,Y223,Z222,Q223)))</f>
        <v>N</v>
      </c>
      <c r="H223" s="51"/>
      <c r="I223" s="299" t="str">
        <f>IF($I$12="","",IFERROR(IF(Report!$D$4='!'!$HE$4,VLOOKUP(A223,Reference!$B$25:$H$390,4,FALSE),VLOOKUP(A223,Monitoring!$B$25:$H$390,4,FALSE)),""))</f>
        <v/>
      </c>
      <c r="J223" s="256"/>
      <c r="K223" s="299" t="str">
        <f>IF($K$12="","",IFERROR(IF(Report!$D$4='!'!$HE$4,VLOOKUP(A223,Reference!$B$25:$H$390,5,FALSE),VLOOKUP(A223,Monitoring!$B$25:$H$390,5,FALSE)),""))</f>
        <v/>
      </c>
      <c r="L223" s="256"/>
      <c r="M223" s="299" t="str">
        <f>IF($M$12="","",IFERROR(IF(Report!$D$4='!'!$HE$4,VLOOKUP(A223,Reference!$B$25:$H$390,6,FALSE),VLOOKUP(A223,Monitoring!$B$25:$H$390,6,FALSE)),""))</f>
        <v/>
      </c>
      <c r="N223" s="256"/>
      <c r="O223" s="299" t="str">
        <f>IF($O$12="","",IFERROR(IF(Report!$D$4='!'!$HE$4,VLOOKUP(A223,Reference!$B$25:$H$390,7,FALSE),VLOOKUP(A223,Monitoring!$B$25:$H$390,7,FALSE)),""))</f>
        <v/>
      </c>
      <c r="P223" s="51"/>
      <c r="Q223" s="151" t="str">
        <f>IF(B223='!'!$GJ$15,'!'!$GJ$15,$Q$12)</f>
        <v>N</v>
      </c>
      <c r="S223" s="4" t="str">
        <f>IFERROR(ABS(T223),'!'!$GJ$15)</f>
        <v>N</v>
      </c>
      <c r="T223" s="84" t="str">
        <f>IFERROR(+G223-D223,'!'!$GJ$15)</f>
        <v>N</v>
      </c>
      <c r="U223" s="64" t="str">
        <f t="shared" si="7"/>
        <v>N</v>
      </c>
      <c r="W223" s="153" t="str">
        <f>IFERROR(I$10*I223,'!'!$GJ$15)</f>
        <v>N</v>
      </c>
      <c r="X223" s="153" t="str">
        <f>IFERROR(K$10*K223,'!'!$GJ$15)</f>
        <v>N</v>
      </c>
      <c r="Y223" s="153" t="str">
        <f>IFERROR(M$10*M223,'!'!$GJ$15)</f>
        <v>N</v>
      </c>
      <c r="Z223" s="153" t="str">
        <f>IFERROR(O$10*O224,'!'!$GJ$15)</f>
        <v>N</v>
      </c>
    </row>
    <row r="224" spans="1:26" x14ac:dyDescent="0.35">
      <c r="A224" s="4">
        <f t="shared" si="6"/>
        <v>200</v>
      </c>
      <c r="B224" s="286" t="str">
        <f>IFERROR(IF(Report!$D$4='!'!$HE$4,VLOOKUP(A224,Reference!$B$25:$H$390,2,FALSE),VLOOKUP(A224,Monitoring!$B$25:$H$390,2,FALSE)),'!'!$GJ$15)</f>
        <v>N</v>
      </c>
      <c r="C224" s="58" t="str">
        <f>Reference!A224</f>
        <v/>
      </c>
      <c r="D224" s="287" t="str">
        <f>IFERROR(IF(Report!$D$4='!'!$HE$4,VLOOKUP(A224,Reference!$B$25:$H$390,3,FALSE),VLOOKUP(A224,Monitoring!$B$25:$H$390,3,FALSE)),'!'!$GJ$15)</f>
        <v>N</v>
      </c>
      <c r="E224" s="285"/>
      <c r="F224" s="254"/>
      <c r="G224" s="151" t="str">
        <f>IF(D224='!'!$GJ$15,'!'!$GJ$15,(SUM(W224,X224,Y224,Z223,Q224)))</f>
        <v>N</v>
      </c>
      <c r="H224" s="51"/>
      <c r="I224" s="299" t="str">
        <f>IF($I$12="","",IFERROR(IF(Report!$D$4='!'!$HE$4,VLOOKUP(A224,Reference!$B$25:$H$390,4,FALSE),VLOOKUP(A224,Monitoring!$B$25:$H$390,4,FALSE)),""))</f>
        <v/>
      </c>
      <c r="J224" s="256"/>
      <c r="K224" s="299" t="str">
        <f>IF($K$12="","",IFERROR(IF(Report!$D$4='!'!$HE$4,VLOOKUP(A224,Reference!$B$25:$H$390,5,FALSE),VLOOKUP(A224,Monitoring!$B$25:$H$390,5,FALSE)),""))</f>
        <v/>
      </c>
      <c r="L224" s="256"/>
      <c r="M224" s="299" t="str">
        <f>IF($M$12="","",IFERROR(IF(Report!$D$4='!'!$HE$4,VLOOKUP(A224,Reference!$B$25:$H$390,6,FALSE),VLOOKUP(A224,Monitoring!$B$25:$H$390,6,FALSE)),""))</f>
        <v/>
      </c>
      <c r="N224" s="256"/>
      <c r="O224" s="299" t="str">
        <f>IF($O$12="","",IFERROR(IF(Report!$D$4='!'!$HE$4,VLOOKUP(A224,Reference!$B$25:$H$390,7,FALSE),VLOOKUP(A224,Monitoring!$B$25:$H$390,7,FALSE)),""))</f>
        <v/>
      </c>
      <c r="P224" s="51"/>
      <c r="Q224" s="151" t="str">
        <f>IF(B224='!'!$GJ$15,'!'!$GJ$15,$Q$12)</f>
        <v>N</v>
      </c>
      <c r="S224" s="4" t="str">
        <f>IFERROR(ABS(T224),'!'!$GJ$15)</f>
        <v>N</v>
      </c>
      <c r="T224" s="84" t="str">
        <f>IFERROR(+G224-D224,'!'!$GJ$15)</f>
        <v>N</v>
      </c>
      <c r="U224" s="64" t="str">
        <f t="shared" si="7"/>
        <v>N</v>
      </c>
      <c r="W224" s="153" t="str">
        <f>IFERROR(I$10*I224,'!'!$GJ$15)</f>
        <v>N</v>
      </c>
      <c r="X224" s="153" t="str">
        <f>IFERROR(K$10*K224,'!'!$GJ$15)</f>
        <v>N</v>
      </c>
      <c r="Y224" s="153" t="str">
        <f>IFERROR(M$10*M224,'!'!$GJ$15)</f>
        <v>N</v>
      </c>
      <c r="Z224" s="153" t="str">
        <f>IFERROR(O$10*O225,'!'!$GJ$15)</f>
        <v>N</v>
      </c>
    </row>
    <row r="225" spans="1:26" x14ac:dyDescent="0.35">
      <c r="A225" s="4">
        <f t="shared" si="6"/>
        <v>201</v>
      </c>
      <c r="B225" s="286" t="str">
        <f>IFERROR(IF(Report!$D$4='!'!$HE$4,VLOOKUP(A225,Reference!$B$25:$H$390,2,FALSE),VLOOKUP(A225,Monitoring!$B$25:$H$390,2,FALSE)),'!'!$GJ$15)</f>
        <v>N</v>
      </c>
      <c r="C225" s="58" t="str">
        <f>Reference!A225</f>
        <v/>
      </c>
      <c r="D225" s="287" t="str">
        <f>IFERROR(IF(Report!$D$4='!'!$HE$4,VLOOKUP(A225,Reference!$B$25:$H$390,3,FALSE),VLOOKUP(A225,Monitoring!$B$25:$H$390,3,FALSE)),'!'!$GJ$15)</f>
        <v>N</v>
      </c>
      <c r="E225" s="285"/>
      <c r="F225" s="254"/>
      <c r="G225" s="151" t="str">
        <f>IF(D225='!'!$GJ$15,'!'!$GJ$15,(SUM(W225,X225,Y225,Z224,Q225)))</f>
        <v>N</v>
      </c>
      <c r="H225" s="51"/>
      <c r="I225" s="299" t="str">
        <f>IF($I$12="","",IFERROR(IF(Report!$D$4='!'!$HE$4,VLOOKUP(A225,Reference!$B$25:$H$390,4,FALSE),VLOOKUP(A225,Monitoring!$B$25:$H$390,4,FALSE)),""))</f>
        <v/>
      </c>
      <c r="J225" s="256"/>
      <c r="K225" s="299" t="str">
        <f>IF($K$12="","",IFERROR(IF(Report!$D$4='!'!$HE$4,VLOOKUP(A225,Reference!$B$25:$H$390,5,FALSE),VLOOKUP(A225,Monitoring!$B$25:$H$390,5,FALSE)),""))</f>
        <v/>
      </c>
      <c r="L225" s="256"/>
      <c r="M225" s="299" t="str">
        <f>IF($M$12="","",IFERROR(IF(Report!$D$4='!'!$HE$4,VLOOKUP(A225,Reference!$B$25:$H$390,6,FALSE),VLOOKUP(A225,Monitoring!$B$25:$H$390,6,FALSE)),""))</f>
        <v/>
      </c>
      <c r="N225" s="256"/>
      <c r="O225" s="299" t="str">
        <f>IF($O$12="","",IFERROR(IF(Report!$D$4='!'!$HE$4,VLOOKUP(A225,Reference!$B$25:$H$390,7,FALSE),VLOOKUP(A225,Monitoring!$B$25:$H$390,7,FALSE)),""))</f>
        <v/>
      </c>
      <c r="P225" s="51"/>
      <c r="Q225" s="151" t="str">
        <f>IF(B225='!'!$GJ$15,'!'!$GJ$15,$Q$12)</f>
        <v>N</v>
      </c>
      <c r="S225" s="4" t="str">
        <f>IFERROR(ABS(T225),'!'!$GJ$15)</f>
        <v>N</v>
      </c>
      <c r="T225" s="84" t="str">
        <f>IFERROR(+G225-D225,'!'!$GJ$15)</f>
        <v>N</v>
      </c>
      <c r="U225" s="64" t="str">
        <f t="shared" si="7"/>
        <v>N</v>
      </c>
      <c r="W225" s="153" t="str">
        <f>IFERROR(I$10*I225,'!'!$GJ$15)</f>
        <v>N</v>
      </c>
      <c r="X225" s="153" t="str">
        <f>IFERROR(K$10*K225,'!'!$GJ$15)</f>
        <v>N</v>
      </c>
      <c r="Y225" s="153" t="str">
        <f>IFERROR(M$10*M225,'!'!$GJ$15)</f>
        <v>N</v>
      </c>
      <c r="Z225" s="153" t="str">
        <f>IFERROR(O$10*O226,'!'!$GJ$15)</f>
        <v>N</v>
      </c>
    </row>
    <row r="226" spans="1:26" x14ac:dyDescent="0.35">
      <c r="A226" s="4">
        <f t="shared" si="6"/>
        <v>202</v>
      </c>
      <c r="B226" s="286" t="str">
        <f>IFERROR(IF(Report!$D$4='!'!$HE$4,VLOOKUP(A226,Reference!$B$25:$H$390,2,FALSE),VLOOKUP(A226,Monitoring!$B$25:$H$390,2,FALSE)),'!'!$GJ$15)</f>
        <v>N</v>
      </c>
      <c r="C226" s="58" t="str">
        <f>Reference!A226</f>
        <v/>
      </c>
      <c r="D226" s="287" t="str">
        <f>IFERROR(IF(Report!$D$4='!'!$HE$4,VLOOKUP(A226,Reference!$B$25:$H$390,3,FALSE),VLOOKUP(A226,Monitoring!$B$25:$H$390,3,FALSE)),'!'!$GJ$15)</f>
        <v>N</v>
      </c>
      <c r="E226" s="285"/>
      <c r="F226" s="254"/>
      <c r="G226" s="151" t="str">
        <f>IF(D226='!'!$GJ$15,'!'!$GJ$15,(SUM(W226,X226,Y226,Z225,Q226)))</f>
        <v>N</v>
      </c>
      <c r="H226" s="51"/>
      <c r="I226" s="299" t="str">
        <f>IF($I$12="","",IFERROR(IF(Report!$D$4='!'!$HE$4,VLOOKUP(A226,Reference!$B$25:$H$390,4,FALSE),VLOOKUP(A226,Monitoring!$B$25:$H$390,4,FALSE)),""))</f>
        <v/>
      </c>
      <c r="J226" s="256"/>
      <c r="K226" s="299" t="str">
        <f>IF($K$12="","",IFERROR(IF(Report!$D$4='!'!$HE$4,VLOOKUP(A226,Reference!$B$25:$H$390,5,FALSE),VLOOKUP(A226,Monitoring!$B$25:$H$390,5,FALSE)),""))</f>
        <v/>
      </c>
      <c r="L226" s="256"/>
      <c r="M226" s="299" t="str">
        <f>IF($M$12="","",IFERROR(IF(Report!$D$4='!'!$HE$4,VLOOKUP(A226,Reference!$B$25:$H$390,6,FALSE),VLOOKUP(A226,Monitoring!$B$25:$H$390,6,FALSE)),""))</f>
        <v/>
      </c>
      <c r="N226" s="256"/>
      <c r="O226" s="299" t="str">
        <f>IF($O$12="","",IFERROR(IF(Report!$D$4='!'!$HE$4,VLOOKUP(A226,Reference!$B$25:$H$390,7,FALSE),VLOOKUP(A226,Monitoring!$B$25:$H$390,7,FALSE)),""))</f>
        <v/>
      </c>
      <c r="P226" s="51"/>
      <c r="Q226" s="151" t="str">
        <f>IF(B226='!'!$GJ$15,'!'!$GJ$15,$Q$12)</f>
        <v>N</v>
      </c>
      <c r="S226" s="4" t="str">
        <f>IFERROR(ABS(T226),'!'!$GJ$15)</f>
        <v>N</v>
      </c>
      <c r="T226" s="84" t="str">
        <f>IFERROR(+G226-D226,'!'!$GJ$15)</f>
        <v>N</v>
      </c>
      <c r="U226" s="64" t="str">
        <f t="shared" si="7"/>
        <v>N</v>
      </c>
      <c r="W226" s="153" t="str">
        <f>IFERROR(I$10*I226,'!'!$GJ$15)</f>
        <v>N</v>
      </c>
      <c r="X226" s="153" t="str">
        <f>IFERROR(K$10*K226,'!'!$GJ$15)</f>
        <v>N</v>
      </c>
      <c r="Y226" s="153" t="str">
        <f>IFERROR(M$10*M226,'!'!$GJ$15)</f>
        <v>N</v>
      </c>
      <c r="Z226" s="153" t="str">
        <f>IFERROR(O$10*O227,'!'!$GJ$15)</f>
        <v>N</v>
      </c>
    </row>
    <row r="227" spans="1:26" x14ac:dyDescent="0.35">
      <c r="A227" s="4">
        <f t="shared" si="6"/>
        <v>203</v>
      </c>
      <c r="B227" s="286" t="str">
        <f>IFERROR(IF(Report!$D$4='!'!$HE$4,VLOOKUP(A227,Reference!$B$25:$H$390,2,FALSE),VLOOKUP(A227,Monitoring!$B$25:$H$390,2,FALSE)),'!'!$GJ$15)</f>
        <v>N</v>
      </c>
      <c r="C227" s="58" t="str">
        <f>Reference!A227</f>
        <v/>
      </c>
      <c r="D227" s="287" t="str">
        <f>IFERROR(IF(Report!$D$4='!'!$HE$4,VLOOKUP(A227,Reference!$B$25:$H$390,3,FALSE),VLOOKUP(A227,Monitoring!$B$25:$H$390,3,FALSE)),'!'!$GJ$15)</f>
        <v>N</v>
      </c>
      <c r="E227" s="285"/>
      <c r="F227" s="254"/>
      <c r="G227" s="151" t="str">
        <f>IF(D227='!'!$GJ$15,'!'!$GJ$15,(SUM(W227,X227,Y227,Z226,Q227)))</f>
        <v>N</v>
      </c>
      <c r="H227" s="51"/>
      <c r="I227" s="299" t="str">
        <f>IF($I$12="","",IFERROR(IF(Report!$D$4='!'!$HE$4,VLOOKUP(A227,Reference!$B$25:$H$390,4,FALSE),VLOOKUP(A227,Monitoring!$B$25:$H$390,4,FALSE)),""))</f>
        <v/>
      </c>
      <c r="J227" s="256"/>
      <c r="K227" s="299" t="str">
        <f>IF($K$12="","",IFERROR(IF(Report!$D$4='!'!$HE$4,VLOOKUP(A227,Reference!$B$25:$H$390,5,FALSE),VLOOKUP(A227,Monitoring!$B$25:$H$390,5,FALSE)),""))</f>
        <v/>
      </c>
      <c r="L227" s="256"/>
      <c r="M227" s="299" t="str">
        <f>IF($M$12="","",IFERROR(IF(Report!$D$4='!'!$HE$4,VLOOKUP(A227,Reference!$B$25:$H$390,6,FALSE),VLOOKUP(A227,Monitoring!$B$25:$H$390,6,FALSE)),""))</f>
        <v/>
      </c>
      <c r="N227" s="256"/>
      <c r="O227" s="299" t="str">
        <f>IF($O$12="","",IFERROR(IF(Report!$D$4='!'!$HE$4,VLOOKUP(A227,Reference!$B$25:$H$390,7,FALSE),VLOOKUP(A227,Monitoring!$B$25:$H$390,7,FALSE)),""))</f>
        <v/>
      </c>
      <c r="P227" s="51"/>
      <c r="Q227" s="151" t="str">
        <f>IF(B227='!'!$GJ$15,'!'!$GJ$15,$Q$12)</f>
        <v>N</v>
      </c>
      <c r="S227" s="4" t="str">
        <f>IFERROR(ABS(T227),'!'!$GJ$15)</f>
        <v>N</v>
      </c>
      <c r="T227" s="84" t="str">
        <f>IFERROR(+G227-D227,'!'!$GJ$15)</f>
        <v>N</v>
      </c>
      <c r="U227" s="64" t="str">
        <f t="shared" si="7"/>
        <v>N</v>
      </c>
      <c r="W227" s="153" t="str">
        <f>IFERROR(I$10*I227,'!'!$GJ$15)</f>
        <v>N</v>
      </c>
      <c r="X227" s="153" t="str">
        <f>IFERROR(K$10*K227,'!'!$GJ$15)</f>
        <v>N</v>
      </c>
      <c r="Y227" s="153" t="str">
        <f>IFERROR(M$10*M227,'!'!$GJ$15)</f>
        <v>N</v>
      </c>
      <c r="Z227" s="153" t="str">
        <f>IFERROR(O$10*O228,'!'!$GJ$15)</f>
        <v>N</v>
      </c>
    </row>
    <row r="228" spans="1:26" x14ac:dyDescent="0.35">
      <c r="A228" s="4">
        <f t="shared" si="6"/>
        <v>204</v>
      </c>
      <c r="B228" s="286" t="str">
        <f>IFERROR(IF(Report!$D$4='!'!$HE$4,VLOOKUP(A228,Reference!$B$25:$H$390,2,FALSE),VLOOKUP(A228,Monitoring!$B$25:$H$390,2,FALSE)),'!'!$GJ$15)</f>
        <v>N</v>
      </c>
      <c r="C228" s="58" t="str">
        <f>Reference!A228</f>
        <v/>
      </c>
      <c r="D228" s="287" t="str">
        <f>IFERROR(IF(Report!$D$4='!'!$HE$4,VLOOKUP(A228,Reference!$B$25:$H$390,3,FALSE),VLOOKUP(A228,Monitoring!$B$25:$H$390,3,FALSE)),'!'!$GJ$15)</f>
        <v>N</v>
      </c>
      <c r="E228" s="285"/>
      <c r="F228" s="254"/>
      <c r="G228" s="151" t="str">
        <f>IF(D228='!'!$GJ$15,'!'!$GJ$15,(SUM(W228,X228,Y228,Z227,Q228)))</f>
        <v>N</v>
      </c>
      <c r="H228" s="51"/>
      <c r="I228" s="299" t="str">
        <f>IF($I$12="","",IFERROR(IF(Report!$D$4='!'!$HE$4,VLOOKUP(A228,Reference!$B$25:$H$390,4,FALSE),VLOOKUP(A228,Monitoring!$B$25:$H$390,4,FALSE)),""))</f>
        <v/>
      </c>
      <c r="J228" s="256"/>
      <c r="K228" s="299" t="str">
        <f>IF($K$12="","",IFERROR(IF(Report!$D$4='!'!$HE$4,VLOOKUP(A228,Reference!$B$25:$H$390,5,FALSE),VLOOKUP(A228,Monitoring!$B$25:$H$390,5,FALSE)),""))</f>
        <v/>
      </c>
      <c r="L228" s="256"/>
      <c r="M228" s="299" t="str">
        <f>IF($M$12="","",IFERROR(IF(Report!$D$4='!'!$HE$4,VLOOKUP(A228,Reference!$B$25:$H$390,6,FALSE),VLOOKUP(A228,Monitoring!$B$25:$H$390,6,FALSE)),""))</f>
        <v/>
      </c>
      <c r="N228" s="256"/>
      <c r="O228" s="299" t="str">
        <f>IF($O$12="","",IFERROR(IF(Report!$D$4='!'!$HE$4,VLOOKUP(A228,Reference!$B$25:$H$390,7,FALSE),VLOOKUP(A228,Monitoring!$B$25:$H$390,7,FALSE)),""))</f>
        <v/>
      </c>
      <c r="P228" s="51"/>
      <c r="Q228" s="151" t="str">
        <f>IF(B228='!'!$GJ$15,'!'!$GJ$15,$Q$12)</f>
        <v>N</v>
      </c>
      <c r="S228" s="4" t="str">
        <f>IFERROR(ABS(T228),'!'!$GJ$15)</f>
        <v>N</v>
      </c>
      <c r="T228" s="84" t="str">
        <f>IFERROR(+G228-D228,'!'!$GJ$15)</f>
        <v>N</v>
      </c>
      <c r="U228" s="64" t="str">
        <f t="shared" si="7"/>
        <v>N</v>
      </c>
      <c r="W228" s="153" t="str">
        <f>IFERROR(I$10*I228,'!'!$GJ$15)</f>
        <v>N</v>
      </c>
      <c r="X228" s="153" t="str">
        <f>IFERROR(K$10*K228,'!'!$GJ$15)</f>
        <v>N</v>
      </c>
      <c r="Y228" s="153" t="str">
        <f>IFERROR(M$10*M228,'!'!$GJ$15)</f>
        <v>N</v>
      </c>
      <c r="Z228" s="153" t="str">
        <f>IFERROR(O$10*O229,'!'!$GJ$15)</f>
        <v>N</v>
      </c>
    </row>
    <row r="229" spans="1:26" x14ac:dyDescent="0.35">
      <c r="A229" s="4">
        <f t="shared" si="6"/>
        <v>205</v>
      </c>
      <c r="B229" s="286" t="str">
        <f>IFERROR(IF(Report!$D$4='!'!$HE$4,VLOOKUP(A229,Reference!$B$25:$H$390,2,FALSE),VLOOKUP(A229,Monitoring!$B$25:$H$390,2,FALSE)),'!'!$GJ$15)</f>
        <v>N</v>
      </c>
      <c r="C229" s="58" t="str">
        <f>Reference!A229</f>
        <v/>
      </c>
      <c r="D229" s="287" t="str">
        <f>IFERROR(IF(Report!$D$4='!'!$HE$4,VLOOKUP(A229,Reference!$B$25:$H$390,3,FALSE),VLOOKUP(A229,Monitoring!$B$25:$H$390,3,FALSE)),'!'!$GJ$15)</f>
        <v>N</v>
      </c>
      <c r="E229" s="285"/>
      <c r="F229" s="254"/>
      <c r="G229" s="151" t="str">
        <f>IF(D229='!'!$GJ$15,'!'!$GJ$15,(SUM(W229,X229,Y229,Z228,Q229)))</f>
        <v>N</v>
      </c>
      <c r="H229" s="51"/>
      <c r="I229" s="299" t="str">
        <f>IF($I$12="","",IFERROR(IF(Report!$D$4='!'!$HE$4,VLOOKUP(A229,Reference!$B$25:$H$390,4,FALSE),VLOOKUP(A229,Monitoring!$B$25:$H$390,4,FALSE)),""))</f>
        <v/>
      </c>
      <c r="J229" s="256"/>
      <c r="K229" s="299" t="str">
        <f>IF($K$12="","",IFERROR(IF(Report!$D$4='!'!$HE$4,VLOOKUP(A229,Reference!$B$25:$H$390,5,FALSE),VLOOKUP(A229,Monitoring!$B$25:$H$390,5,FALSE)),""))</f>
        <v/>
      </c>
      <c r="L229" s="256"/>
      <c r="M229" s="299" t="str">
        <f>IF($M$12="","",IFERROR(IF(Report!$D$4='!'!$HE$4,VLOOKUP(A229,Reference!$B$25:$H$390,6,FALSE),VLOOKUP(A229,Monitoring!$B$25:$H$390,6,FALSE)),""))</f>
        <v/>
      </c>
      <c r="N229" s="256"/>
      <c r="O229" s="299" t="str">
        <f>IF($O$12="","",IFERROR(IF(Report!$D$4='!'!$HE$4,VLOOKUP(A229,Reference!$B$25:$H$390,7,FALSE),VLOOKUP(A229,Monitoring!$B$25:$H$390,7,FALSE)),""))</f>
        <v/>
      </c>
      <c r="P229" s="51"/>
      <c r="Q229" s="151" t="str">
        <f>IF(B229='!'!$GJ$15,'!'!$GJ$15,$Q$12)</f>
        <v>N</v>
      </c>
      <c r="S229" s="4" t="str">
        <f>IFERROR(ABS(T229),'!'!$GJ$15)</f>
        <v>N</v>
      </c>
      <c r="T229" s="84" t="str">
        <f>IFERROR(+G229-D229,'!'!$GJ$15)</f>
        <v>N</v>
      </c>
      <c r="U229" s="64" t="str">
        <f t="shared" si="7"/>
        <v>N</v>
      </c>
      <c r="W229" s="153" t="str">
        <f>IFERROR(I$10*I229,'!'!$GJ$15)</f>
        <v>N</v>
      </c>
      <c r="X229" s="153" t="str">
        <f>IFERROR(K$10*K229,'!'!$GJ$15)</f>
        <v>N</v>
      </c>
      <c r="Y229" s="153" t="str">
        <f>IFERROR(M$10*M229,'!'!$GJ$15)</f>
        <v>N</v>
      </c>
      <c r="Z229" s="153" t="str">
        <f>IFERROR(O$10*O230,'!'!$GJ$15)</f>
        <v>N</v>
      </c>
    </row>
    <row r="230" spans="1:26" x14ac:dyDescent="0.35">
      <c r="A230" s="4">
        <f t="shared" si="6"/>
        <v>206</v>
      </c>
      <c r="B230" s="286" t="str">
        <f>IFERROR(IF(Report!$D$4='!'!$HE$4,VLOOKUP(A230,Reference!$B$25:$H$390,2,FALSE),VLOOKUP(A230,Monitoring!$B$25:$H$390,2,FALSE)),'!'!$GJ$15)</f>
        <v>N</v>
      </c>
      <c r="C230" s="58" t="str">
        <f>Reference!A230</f>
        <v/>
      </c>
      <c r="D230" s="287" t="str">
        <f>IFERROR(IF(Report!$D$4='!'!$HE$4,VLOOKUP(A230,Reference!$B$25:$H$390,3,FALSE),VLOOKUP(A230,Monitoring!$B$25:$H$390,3,FALSE)),'!'!$GJ$15)</f>
        <v>N</v>
      </c>
      <c r="E230" s="285"/>
      <c r="F230" s="254"/>
      <c r="G230" s="151" t="str">
        <f>IF(D230='!'!$GJ$15,'!'!$GJ$15,(SUM(W230,X230,Y230,Z229,Q230)))</f>
        <v>N</v>
      </c>
      <c r="H230" s="51"/>
      <c r="I230" s="299" t="str">
        <f>IF($I$12="","",IFERROR(IF(Report!$D$4='!'!$HE$4,VLOOKUP(A230,Reference!$B$25:$H$390,4,FALSE),VLOOKUP(A230,Monitoring!$B$25:$H$390,4,FALSE)),""))</f>
        <v/>
      </c>
      <c r="J230" s="256"/>
      <c r="K230" s="299" t="str">
        <f>IF($K$12="","",IFERROR(IF(Report!$D$4='!'!$HE$4,VLOOKUP(A230,Reference!$B$25:$H$390,5,FALSE),VLOOKUP(A230,Monitoring!$B$25:$H$390,5,FALSE)),""))</f>
        <v/>
      </c>
      <c r="L230" s="256"/>
      <c r="M230" s="299" t="str">
        <f>IF($M$12="","",IFERROR(IF(Report!$D$4='!'!$HE$4,VLOOKUP(A230,Reference!$B$25:$H$390,6,FALSE),VLOOKUP(A230,Monitoring!$B$25:$H$390,6,FALSE)),""))</f>
        <v/>
      </c>
      <c r="N230" s="256"/>
      <c r="O230" s="299" t="str">
        <f>IF($O$12="","",IFERROR(IF(Report!$D$4='!'!$HE$4,VLOOKUP(A230,Reference!$B$25:$H$390,7,FALSE),VLOOKUP(A230,Monitoring!$B$25:$H$390,7,FALSE)),""))</f>
        <v/>
      </c>
      <c r="P230" s="51"/>
      <c r="Q230" s="151" t="str">
        <f>IF(B230='!'!$GJ$15,'!'!$GJ$15,$Q$12)</f>
        <v>N</v>
      </c>
      <c r="S230" s="4" t="str">
        <f>IFERROR(ABS(T230),'!'!$GJ$15)</f>
        <v>N</v>
      </c>
      <c r="T230" s="84" t="str">
        <f>IFERROR(+G230-D230,'!'!$GJ$15)</f>
        <v>N</v>
      </c>
      <c r="U230" s="64" t="str">
        <f t="shared" si="7"/>
        <v>N</v>
      </c>
      <c r="W230" s="153" t="str">
        <f>IFERROR(I$10*I230,'!'!$GJ$15)</f>
        <v>N</v>
      </c>
      <c r="X230" s="153" t="str">
        <f>IFERROR(K$10*K230,'!'!$GJ$15)</f>
        <v>N</v>
      </c>
      <c r="Y230" s="153" t="str">
        <f>IFERROR(M$10*M230,'!'!$GJ$15)</f>
        <v>N</v>
      </c>
      <c r="Z230" s="153" t="str">
        <f>IFERROR(O$10*O231,'!'!$GJ$15)</f>
        <v>N</v>
      </c>
    </row>
    <row r="231" spans="1:26" x14ac:dyDescent="0.35">
      <c r="A231" s="4">
        <f t="shared" si="6"/>
        <v>207</v>
      </c>
      <c r="B231" s="286" t="str">
        <f>IFERROR(IF(Report!$D$4='!'!$HE$4,VLOOKUP(A231,Reference!$B$25:$H$390,2,FALSE),VLOOKUP(A231,Monitoring!$B$25:$H$390,2,FALSE)),'!'!$GJ$15)</f>
        <v>N</v>
      </c>
      <c r="C231" s="58" t="str">
        <f>Reference!A231</f>
        <v/>
      </c>
      <c r="D231" s="287" t="str">
        <f>IFERROR(IF(Report!$D$4='!'!$HE$4,VLOOKUP(A231,Reference!$B$25:$H$390,3,FALSE),VLOOKUP(A231,Monitoring!$B$25:$H$390,3,FALSE)),'!'!$GJ$15)</f>
        <v>N</v>
      </c>
      <c r="E231" s="285"/>
      <c r="F231" s="254"/>
      <c r="G231" s="151" t="str">
        <f>IF(D231='!'!$GJ$15,'!'!$GJ$15,(SUM(W231,X231,Y231,Z230,Q231)))</f>
        <v>N</v>
      </c>
      <c r="H231" s="51"/>
      <c r="I231" s="299" t="str">
        <f>IF($I$12="","",IFERROR(IF(Report!$D$4='!'!$HE$4,VLOOKUP(A231,Reference!$B$25:$H$390,4,FALSE),VLOOKUP(A231,Monitoring!$B$25:$H$390,4,FALSE)),""))</f>
        <v/>
      </c>
      <c r="J231" s="256"/>
      <c r="K231" s="299" t="str">
        <f>IF($K$12="","",IFERROR(IF(Report!$D$4='!'!$HE$4,VLOOKUP(A231,Reference!$B$25:$H$390,5,FALSE),VLOOKUP(A231,Monitoring!$B$25:$H$390,5,FALSE)),""))</f>
        <v/>
      </c>
      <c r="L231" s="256"/>
      <c r="M231" s="299" t="str">
        <f>IF($M$12="","",IFERROR(IF(Report!$D$4='!'!$HE$4,VLOOKUP(A231,Reference!$B$25:$H$390,6,FALSE),VLOOKUP(A231,Monitoring!$B$25:$H$390,6,FALSE)),""))</f>
        <v/>
      </c>
      <c r="N231" s="256"/>
      <c r="O231" s="299" t="str">
        <f>IF($O$12="","",IFERROR(IF(Report!$D$4='!'!$HE$4,VLOOKUP(A231,Reference!$B$25:$H$390,7,FALSE),VLOOKUP(A231,Monitoring!$B$25:$H$390,7,FALSE)),""))</f>
        <v/>
      </c>
      <c r="P231" s="51"/>
      <c r="Q231" s="151" t="str">
        <f>IF(B231='!'!$GJ$15,'!'!$GJ$15,$Q$12)</f>
        <v>N</v>
      </c>
      <c r="S231" s="4" t="str">
        <f>IFERROR(ABS(T231),'!'!$GJ$15)</f>
        <v>N</v>
      </c>
      <c r="T231" s="84" t="str">
        <f>IFERROR(+G231-D231,'!'!$GJ$15)</f>
        <v>N</v>
      </c>
      <c r="U231" s="64" t="str">
        <f t="shared" si="7"/>
        <v>N</v>
      </c>
      <c r="W231" s="153" t="str">
        <f>IFERROR(I$10*I231,'!'!$GJ$15)</f>
        <v>N</v>
      </c>
      <c r="X231" s="153" t="str">
        <f>IFERROR(K$10*K231,'!'!$GJ$15)</f>
        <v>N</v>
      </c>
      <c r="Y231" s="153" t="str">
        <f>IFERROR(M$10*M231,'!'!$GJ$15)</f>
        <v>N</v>
      </c>
      <c r="Z231" s="153" t="str">
        <f>IFERROR(O$10*O232,'!'!$GJ$15)</f>
        <v>N</v>
      </c>
    </row>
    <row r="232" spans="1:26" x14ac:dyDescent="0.35">
      <c r="A232" s="4">
        <f t="shared" si="6"/>
        <v>208</v>
      </c>
      <c r="B232" s="286" t="str">
        <f>IFERROR(IF(Report!$D$4='!'!$HE$4,VLOOKUP(A232,Reference!$B$25:$H$390,2,FALSE),VLOOKUP(A232,Monitoring!$B$25:$H$390,2,FALSE)),'!'!$GJ$15)</f>
        <v>N</v>
      </c>
      <c r="C232" s="58" t="str">
        <f>Reference!A232</f>
        <v/>
      </c>
      <c r="D232" s="287" t="str">
        <f>IFERROR(IF(Report!$D$4='!'!$HE$4,VLOOKUP(A232,Reference!$B$25:$H$390,3,FALSE),VLOOKUP(A232,Monitoring!$B$25:$H$390,3,FALSE)),'!'!$GJ$15)</f>
        <v>N</v>
      </c>
      <c r="E232" s="285"/>
      <c r="F232" s="254"/>
      <c r="G232" s="151" t="str">
        <f>IF(D232='!'!$GJ$15,'!'!$GJ$15,(SUM(W232,X232,Y232,Z231,Q232)))</f>
        <v>N</v>
      </c>
      <c r="H232" s="51"/>
      <c r="I232" s="299" t="str">
        <f>IF($I$12="","",IFERROR(IF(Report!$D$4='!'!$HE$4,VLOOKUP(A232,Reference!$B$25:$H$390,4,FALSE),VLOOKUP(A232,Monitoring!$B$25:$H$390,4,FALSE)),""))</f>
        <v/>
      </c>
      <c r="J232" s="256"/>
      <c r="K232" s="299" t="str">
        <f>IF($K$12="","",IFERROR(IF(Report!$D$4='!'!$HE$4,VLOOKUP(A232,Reference!$B$25:$H$390,5,FALSE),VLOOKUP(A232,Monitoring!$B$25:$H$390,5,FALSE)),""))</f>
        <v/>
      </c>
      <c r="L232" s="256"/>
      <c r="M232" s="299" t="str">
        <f>IF($M$12="","",IFERROR(IF(Report!$D$4='!'!$HE$4,VLOOKUP(A232,Reference!$B$25:$H$390,6,FALSE),VLOOKUP(A232,Monitoring!$B$25:$H$390,6,FALSE)),""))</f>
        <v/>
      </c>
      <c r="N232" s="256"/>
      <c r="O232" s="299" t="str">
        <f>IF($O$12="","",IFERROR(IF(Report!$D$4='!'!$HE$4,VLOOKUP(A232,Reference!$B$25:$H$390,7,FALSE),VLOOKUP(A232,Monitoring!$B$25:$H$390,7,FALSE)),""))</f>
        <v/>
      </c>
      <c r="P232" s="51"/>
      <c r="Q232" s="151" t="str">
        <f>IF(B232='!'!$GJ$15,'!'!$GJ$15,$Q$12)</f>
        <v>N</v>
      </c>
      <c r="S232" s="4" t="str">
        <f>IFERROR(ABS(T232),'!'!$GJ$15)</f>
        <v>N</v>
      </c>
      <c r="T232" s="84" t="str">
        <f>IFERROR(+G232-D232,'!'!$GJ$15)</f>
        <v>N</v>
      </c>
      <c r="U232" s="64" t="str">
        <f t="shared" si="7"/>
        <v>N</v>
      </c>
      <c r="W232" s="153" t="str">
        <f>IFERROR(I$10*I232,'!'!$GJ$15)</f>
        <v>N</v>
      </c>
      <c r="X232" s="153" t="str">
        <f>IFERROR(K$10*K232,'!'!$GJ$15)</f>
        <v>N</v>
      </c>
      <c r="Y232" s="153" t="str">
        <f>IFERROR(M$10*M232,'!'!$GJ$15)</f>
        <v>N</v>
      </c>
      <c r="Z232" s="153" t="str">
        <f>IFERROR(O$10*O233,'!'!$GJ$15)</f>
        <v>N</v>
      </c>
    </row>
    <row r="233" spans="1:26" x14ac:dyDescent="0.35">
      <c r="A233" s="4">
        <f t="shared" si="6"/>
        <v>209</v>
      </c>
      <c r="B233" s="286" t="str">
        <f>IFERROR(IF(Report!$D$4='!'!$HE$4,VLOOKUP(A233,Reference!$B$25:$H$390,2,FALSE),VLOOKUP(A233,Monitoring!$B$25:$H$390,2,FALSE)),'!'!$GJ$15)</f>
        <v>N</v>
      </c>
      <c r="C233" s="58" t="str">
        <f>Reference!A233</f>
        <v/>
      </c>
      <c r="D233" s="287" t="str">
        <f>IFERROR(IF(Report!$D$4='!'!$HE$4,VLOOKUP(A233,Reference!$B$25:$H$390,3,FALSE),VLOOKUP(A233,Monitoring!$B$25:$H$390,3,FALSE)),'!'!$GJ$15)</f>
        <v>N</v>
      </c>
      <c r="E233" s="285"/>
      <c r="F233" s="254"/>
      <c r="G233" s="151" t="str">
        <f>IF(D233='!'!$GJ$15,'!'!$GJ$15,(SUM(W233,X233,Y233,Z232,Q233)))</f>
        <v>N</v>
      </c>
      <c r="H233" s="51"/>
      <c r="I233" s="299" t="str">
        <f>IF($I$12="","",IFERROR(IF(Report!$D$4='!'!$HE$4,VLOOKUP(A233,Reference!$B$25:$H$390,4,FALSE),VLOOKUP(A233,Monitoring!$B$25:$H$390,4,FALSE)),""))</f>
        <v/>
      </c>
      <c r="J233" s="256"/>
      <c r="K233" s="299" t="str">
        <f>IF($K$12="","",IFERROR(IF(Report!$D$4='!'!$HE$4,VLOOKUP(A233,Reference!$B$25:$H$390,5,FALSE),VLOOKUP(A233,Monitoring!$B$25:$H$390,5,FALSE)),""))</f>
        <v/>
      </c>
      <c r="L233" s="256"/>
      <c r="M233" s="299" t="str">
        <f>IF($M$12="","",IFERROR(IF(Report!$D$4='!'!$HE$4,VLOOKUP(A233,Reference!$B$25:$H$390,6,FALSE),VLOOKUP(A233,Monitoring!$B$25:$H$390,6,FALSE)),""))</f>
        <v/>
      </c>
      <c r="N233" s="256"/>
      <c r="O233" s="299" t="str">
        <f>IF($O$12="","",IFERROR(IF(Report!$D$4='!'!$HE$4,VLOOKUP(A233,Reference!$B$25:$H$390,7,FALSE),VLOOKUP(A233,Monitoring!$B$25:$H$390,7,FALSE)),""))</f>
        <v/>
      </c>
      <c r="P233" s="51"/>
      <c r="Q233" s="151" t="str">
        <f>IF(B233='!'!$GJ$15,'!'!$GJ$15,$Q$12)</f>
        <v>N</v>
      </c>
      <c r="S233" s="4" t="str">
        <f>IFERROR(ABS(T233),'!'!$GJ$15)</f>
        <v>N</v>
      </c>
      <c r="T233" s="84" t="str">
        <f>IFERROR(+G233-D233,'!'!$GJ$15)</f>
        <v>N</v>
      </c>
      <c r="U233" s="64" t="str">
        <f t="shared" si="7"/>
        <v>N</v>
      </c>
      <c r="W233" s="153" t="str">
        <f>IFERROR(I$10*I233,'!'!$GJ$15)</f>
        <v>N</v>
      </c>
      <c r="X233" s="153" t="str">
        <f>IFERROR(K$10*K233,'!'!$GJ$15)</f>
        <v>N</v>
      </c>
      <c r="Y233" s="153" t="str">
        <f>IFERROR(M$10*M233,'!'!$GJ$15)</f>
        <v>N</v>
      </c>
      <c r="Z233" s="153" t="str">
        <f>IFERROR(O$10*O234,'!'!$GJ$15)</f>
        <v>N</v>
      </c>
    </row>
    <row r="234" spans="1:26" x14ac:dyDescent="0.35">
      <c r="A234" s="4">
        <f t="shared" si="6"/>
        <v>210</v>
      </c>
      <c r="B234" s="286" t="str">
        <f>IFERROR(IF(Report!$D$4='!'!$HE$4,VLOOKUP(A234,Reference!$B$25:$H$390,2,FALSE),VLOOKUP(A234,Monitoring!$B$25:$H$390,2,FALSE)),'!'!$GJ$15)</f>
        <v>N</v>
      </c>
      <c r="C234" s="58" t="str">
        <f>Reference!A234</f>
        <v/>
      </c>
      <c r="D234" s="287" t="str">
        <f>IFERROR(IF(Report!$D$4='!'!$HE$4,VLOOKUP(A234,Reference!$B$25:$H$390,3,FALSE),VLOOKUP(A234,Monitoring!$B$25:$H$390,3,FALSE)),'!'!$GJ$15)</f>
        <v>N</v>
      </c>
      <c r="E234" s="285"/>
      <c r="F234" s="254"/>
      <c r="G234" s="151" t="str">
        <f>IF(D234='!'!$GJ$15,'!'!$GJ$15,(SUM(W234,X234,Y234,Z233,Q234)))</f>
        <v>N</v>
      </c>
      <c r="H234" s="51"/>
      <c r="I234" s="299" t="str">
        <f>IF($I$12="","",IFERROR(IF(Report!$D$4='!'!$HE$4,VLOOKUP(A234,Reference!$B$25:$H$390,4,FALSE),VLOOKUP(A234,Monitoring!$B$25:$H$390,4,FALSE)),""))</f>
        <v/>
      </c>
      <c r="J234" s="256"/>
      <c r="K234" s="299" t="str">
        <f>IF($K$12="","",IFERROR(IF(Report!$D$4='!'!$HE$4,VLOOKUP(A234,Reference!$B$25:$H$390,5,FALSE),VLOOKUP(A234,Monitoring!$B$25:$H$390,5,FALSE)),""))</f>
        <v/>
      </c>
      <c r="L234" s="256"/>
      <c r="M234" s="299" t="str">
        <f>IF($M$12="","",IFERROR(IF(Report!$D$4='!'!$HE$4,VLOOKUP(A234,Reference!$B$25:$H$390,6,FALSE),VLOOKUP(A234,Monitoring!$B$25:$H$390,6,FALSE)),""))</f>
        <v/>
      </c>
      <c r="N234" s="256"/>
      <c r="O234" s="299" t="str">
        <f>IF($O$12="","",IFERROR(IF(Report!$D$4='!'!$HE$4,VLOOKUP(A234,Reference!$B$25:$H$390,7,FALSE),VLOOKUP(A234,Monitoring!$B$25:$H$390,7,FALSE)),""))</f>
        <v/>
      </c>
      <c r="P234" s="51"/>
      <c r="Q234" s="151" t="str">
        <f>IF(B234='!'!$GJ$15,'!'!$GJ$15,$Q$12)</f>
        <v>N</v>
      </c>
      <c r="S234" s="4" t="str">
        <f>IFERROR(ABS(T234),'!'!$GJ$15)</f>
        <v>N</v>
      </c>
      <c r="T234" s="84" t="str">
        <f>IFERROR(+G234-D234,'!'!$GJ$15)</f>
        <v>N</v>
      </c>
      <c r="U234" s="64" t="str">
        <f t="shared" si="7"/>
        <v>N</v>
      </c>
      <c r="W234" s="153" t="str">
        <f>IFERROR(I$10*I234,'!'!$GJ$15)</f>
        <v>N</v>
      </c>
      <c r="X234" s="153" t="str">
        <f>IFERROR(K$10*K234,'!'!$GJ$15)</f>
        <v>N</v>
      </c>
      <c r="Y234" s="153" t="str">
        <f>IFERROR(M$10*M234,'!'!$GJ$15)</f>
        <v>N</v>
      </c>
      <c r="Z234" s="153" t="str">
        <f>IFERROR(O$10*O235,'!'!$GJ$15)</f>
        <v>N</v>
      </c>
    </row>
    <row r="235" spans="1:26" x14ac:dyDescent="0.35">
      <c r="A235" s="4">
        <f t="shared" si="6"/>
        <v>211</v>
      </c>
      <c r="B235" s="286" t="str">
        <f>IFERROR(IF(Report!$D$4='!'!$HE$4,VLOOKUP(A235,Reference!$B$25:$H$390,2,FALSE),VLOOKUP(A235,Monitoring!$B$25:$H$390,2,FALSE)),'!'!$GJ$15)</f>
        <v>N</v>
      </c>
      <c r="C235" s="58" t="str">
        <f>Reference!A235</f>
        <v/>
      </c>
      <c r="D235" s="287" t="str">
        <f>IFERROR(IF(Report!$D$4='!'!$HE$4,VLOOKUP(A235,Reference!$B$25:$H$390,3,FALSE),VLOOKUP(A235,Monitoring!$B$25:$H$390,3,FALSE)),'!'!$GJ$15)</f>
        <v>N</v>
      </c>
      <c r="E235" s="285"/>
      <c r="F235" s="254"/>
      <c r="G235" s="151" t="str">
        <f>IF(D235='!'!$GJ$15,'!'!$GJ$15,(SUM(W235,X235,Y235,Z234,Q235)))</f>
        <v>N</v>
      </c>
      <c r="H235" s="51"/>
      <c r="I235" s="299" t="str">
        <f>IF($I$12="","",IFERROR(IF(Report!$D$4='!'!$HE$4,VLOOKUP(A235,Reference!$B$25:$H$390,4,FALSE),VLOOKUP(A235,Monitoring!$B$25:$H$390,4,FALSE)),""))</f>
        <v/>
      </c>
      <c r="J235" s="256"/>
      <c r="K235" s="299" t="str">
        <f>IF($K$12="","",IFERROR(IF(Report!$D$4='!'!$HE$4,VLOOKUP(A235,Reference!$B$25:$H$390,5,FALSE),VLOOKUP(A235,Monitoring!$B$25:$H$390,5,FALSE)),""))</f>
        <v/>
      </c>
      <c r="L235" s="256"/>
      <c r="M235" s="299" t="str">
        <f>IF($M$12="","",IFERROR(IF(Report!$D$4='!'!$HE$4,VLOOKUP(A235,Reference!$B$25:$H$390,6,FALSE),VLOOKUP(A235,Monitoring!$B$25:$H$390,6,FALSE)),""))</f>
        <v/>
      </c>
      <c r="N235" s="256"/>
      <c r="O235" s="299" t="str">
        <f>IF($O$12="","",IFERROR(IF(Report!$D$4='!'!$HE$4,VLOOKUP(A235,Reference!$B$25:$H$390,7,FALSE),VLOOKUP(A235,Monitoring!$B$25:$H$390,7,FALSE)),""))</f>
        <v/>
      </c>
      <c r="P235" s="51"/>
      <c r="Q235" s="151" t="str">
        <f>IF(B235='!'!$GJ$15,'!'!$GJ$15,$Q$12)</f>
        <v>N</v>
      </c>
      <c r="S235" s="4" t="str">
        <f>IFERROR(ABS(T235),'!'!$GJ$15)</f>
        <v>N</v>
      </c>
      <c r="T235" s="84" t="str">
        <f>IFERROR(+G235-D235,'!'!$GJ$15)</f>
        <v>N</v>
      </c>
      <c r="U235" s="64" t="str">
        <f t="shared" si="7"/>
        <v>N</v>
      </c>
      <c r="W235" s="153" t="str">
        <f>IFERROR(I$10*I235,'!'!$GJ$15)</f>
        <v>N</v>
      </c>
      <c r="X235" s="153" t="str">
        <f>IFERROR(K$10*K235,'!'!$GJ$15)</f>
        <v>N</v>
      </c>
      <c r="Y235" s="153" t="str">
        <f>IFERROR(M$10*M235,'!'!$GJ$15)</f>
        <v>N</v>
      </c>
      <c r="Z235" s="153" t="str">
        <f>IFERROR(O$10*O236,'!'!$GJ$15)</f>
        <v>N</v>
      </c>
    </row>
    <row r="236" spans="1:26" x14ac:dyDescent="0.35">
      <c r="A236" s="4">
        <f t="shared" si="6"/>
        <v>212</v>
      </c>
      <c r="B236" s="286" t="str">
        <f>IFERROR(IF(Report!$D$4='!'!$HE$4,VLOOKUP(A236,Reference!$B$25:$H$390,2,FALSE),VLOOKUP(A236,Monitoring!$B$25:$H$390,2,FALSE)),'!'!$GJ$15)</f>
        <v>N</v>
      </c>
      <c r="C236" s="58" t="str">
        <f>Reference!A236</f>
        <v/>
      </c>
      <c r="D236" s="287" t="str">
        <f>IFERROR(IF(Report!$D$4='!'!$HE$4,VLOOKUP(A236,Reference!$B$25:$H$390,3,FALSE),VLOOKUP(A236,Monitoring!$B$25:$H$390,3,FALSE)),'!'!$GJ$15)</f>
        <v>N</v>
      </c>
      <c r="E236" s="285"/>
      <c r="F236" s="254"/>
      <c r="G236" s="151" t="str">
        <f>IF(D236='!'!$GJ$15,'!'!$GJ$15,(SUM(W236,X236,Y236,Z235,Q236)))</f>
        <v>N</v>
      </c>
      <c r="H236" s="51"/>
      <c r="I236" s="299" t="str">
        <f>IF($I$12="","",IFERROR(IF(Report!$D$4='!'!$HE$4,VLOOKUP(A236,Reference!$B$25:$H$390,4,FALSE),VLOOKUP(A236,Monitoring!$B$25:$H$390,4,FALSE)),""))</f>
        <v/>
      </c>
      <c r="J236" s="256"/>
      <c r="K236" s="299" t="str">
        <f>IF($K$12="","",IFERROR(IF(Report!$D$4='!'!$HE$4,VLOOKUP(A236,Reference!$B$25:$H$390,5,FALSE),VLOOKUP(A236,Monitoring!$B$25:$H$390,5,FALSE)),""))</f>
        <v/>
      </c>
      <c r="L236" s="256"/>
      <c r="M236" s="299" t="str">
        <f>IF($M$12="","",IFERROR(IF(Report!$D$4='!'!$HE$4,VLOOKUP(A236,Reference!$B$25:$H$390,6,FALSE),VLOOKUP(A236,Monitoring!$B$25:$H$390,6,FALSE)),""))</f>
        <v/>
      </c>
      <c r="N236" s="256"/>
      <c r="O236" s="299" t="str">
        <f>IF($O$12="","",IFERROR(IF(Report!$D$4='!'!$HE$4,VLOOKUP(A236,Reference!$B$25:$H$390,7,FALSE),VLOOKUP(A236,Monitoring!$B$25:$H$390,7,FALSE)),""))</f>
        <v/>
      </c>
      <c r="P236" s="51"/>
      <c r="Q236" s="151" t="str">
        <f>IF(B236='!'!$GJ$15,'!'!$GJ$15,$Q$12)</f>
        <v>N</v>
      </c>
      <c r="S236" s="4" t="str">
        <f>IFERROR(ABS(T236),'!'!$GJ$15)</f>
        <v>N</v>
      </c>
      <c r="T236" s="84" t="str">
        <f>IFERROR(+G236-D236,'!'!$GJ$15)</f>
        <v>N</v>
      </c>
      <c r="U236" s="64" t="str">
        <f t="shared" si="7"/>
        <v>N</v>
      </c>
      <c r="W236" s="153" t="str">
        <f>IFERROR(I$10*I236,'!'!$GJ$15)</f>
        <v>N</v>
      </c>
      <c r="X236" s="153" t="str">
        <f>IFERROR(K$10*K236,'!'!$GJ$15)</f>
        <v>N</v>
      </c>
      <c r="Y236" s="153" t="str">
        <f>IFERROR(M$10*M236,'!'!$GJ$15)</f>
        <v>N</v>
      </c>
      <c r="Z236" s="153" t="str">
        <f>IFERROR(O$10*O237,'!'!$GJ$15)</f>
        <v>N</v>
      </c>
    </row>
    <row r="237" spans="1:26" x14ac:dyDescent="0.35">
      <c r="A237" s="4">
        <f t="shared" si="6"/>
        <v>213</v>
      </c>
      <c r="B237" s="286" t="str">
        <f>IFERROR(IF(Report!$D$4='!'!$HE$4,VLOOKUP(A237,Reference!$B$25:$H$390,2,FALSE),VLOOKUP(A237,Monitoring!$B$25:$H$390,2,FALSE)),'!'!$GJ$15)</f>
        <v>N</v>
      </c>
      <c r="C237" s="58" t="str">
        <f>Reference!A237</f>
        <v/>
      </c>
      <c r="D237" s="287" t="str">
        <f>IFERROR(IF(Report!$D$4='!'!$HE$4,VLOOKUP(A237,Reference!$B$25:$H$390,3,FALSE),VLOOKUP(A237,Monitoring!$B$25:$H$390,3,FALSE)),'!'!$GJ$15)</f>
        <v>N</v>
      </c>
      <c r="E237" s="285"/>
      <c r="F237" s="254"/>
      <c r="G237" s="151" t="str">
        <f>IF(D237='!'!$GJ$15,'!'!$GJ$15,(SUM(W237,X237,Y237,Z236,Q237)))</f>
        <v>N</v>
      </c>
      <c r="H237" s="51"/>
      <c r="I237" s="299" t="str">
        <f>IF($I$12="","",IFERROR(IF(Report!$D$4='!'!$HE$4,VLOOKUP(A237,Reference!$B$25:$H$390,4,FALSE),VLOOKUP(A237,Monitoring!$B$25:$H$390,4,FALSE)),""))</f>
        <v/>
      </c>
      <c r="J237" s="256"/>
      <c r="K237" s="299" t="str">
        <f>IF($K$12="","",IFERROR(IF(Report!$D$4='!'!$HE$4,VLOOKUP(A237,Reference!$B$25:$H$390,5,FALSE),VLOOKUP(A237,Monitoring!$B$25:$H$390,5,FALSE)),""))</f>
        <v/>
      </c>
      <c r="L237" s="256"/>
      <c r="M237" s="299" t="str">
        <f>IF($M$12="","",IFERROR(IF(Report!$D$4='!'!$HE$4,VLOOKUP(A237,Reference!$B$25:$H$390,6,FALSE),VLOOKUP(A237,Monitoring!$B$25:$H$390,6,FALSE)),""))</f>
        <v/>
      </c>
      <c r="N237" s="256"/>
      <c r="O237" s="299" t="str">
        <f>IF($O$12="","",IFERROR(IF(Report!$D$4='!'!$HE$4,VLOOKUP(A237,Reference!$B$25:$H$390,7,FALSE),VLOOKUP(A237,Monitoring!$B$25:$H$390,7,FALSE)),""))</f>
        <v/>
      </c>
      <c r="P237" s="51"/>
      <c r="Q237" s="151" t="str">
        <f>IF(B237='!'!$GJ$15,'!'!$GJ$15,$Q$12)</f>
        <v>N</v>
      </c>
      <c r="S237" s="4" t="str">
        <f>IFERROR(ABS(T237),'!'!$GJ$15)</f>
        <v>N</v>
      </c>
      <c r="T237" s="84" t="str">
        <f>IFERROR(+G237-D237,'!'!$GJ$15)</f>
        <v>N</v>
      </c>
      <c r="U237" s="64" t="str">
        <f t="shared" si="7"/>
        <v>N</v>
      </c>
      <c r="W237" s="153" t="str">
        <f>IFERROR(I$10*I237,'!'!$GJ$15)</f>
        <v>N</v>
      </c>
      <c r="X237" s="153" t="str">
        <f>IFERROR(K$10*K237,'!'!$GJ$15)</f>
        <v>N</v>
      </c>
      <c r="Y237" s="153" t="str">
        <f>IFERROR(M$10*M237,'!'!$GJ$15)</f>
        <v>N</v>
      </c>
      <c r="Z237" s="153" t="str">
        <f>IFERROR(O$10*O238,'!'!$GJ$15)</f>
        <v>N</v>
      </c>
    </row>
    <row r="238" spans="1:26" x14ac:dyDescent="0.35">
      <c r="A238" s="4">
        <f t="shared" si="6"/>
        <v>214</v>
      </c>
      <c r="B238" s="286" t="str">
        <f>IFERROR(IF(Report!$D$4='!'!$HE$4,VLOOKUP(A238,Reference!$B$25:$H$390,2,FALSE),VLOOKUP(A238,Monitoring!$B$25:$H$390,2,FALSE)),'!'!$GJ$15)</f>
        <v>N</v>
      </c>
      <c r="C238" s="58" t="str">
        <f>Reference!A238</f>
        <v/>
      </c>
      <c r="D238" s="287" t="str">
        <f>IFERROR(IF(Report!$D$4='!'!$HE$4,VLOOKUP(A238,Reference!$B$25:$H$390,3,FALSE),VLOOKUP(A238,Monitoring!$B$25:$H$390,3,FALSE)),'!'!$GJ$15)</f>
        <v>N</v>
      </c>
      <c r="E238" s="285"/>
      <c r="F238" s="254"/>
      <c r="G238" s="151" t="str">
        <f>IF(D238='!'!$GJ$15,'!'!$GJ$15,(SUM(W238,X238,Y238,Z237,Q238)))</f>
        <v>N</v>
      </c>
      <c r="H238" s="51"/>
      <c r="I238" s="299" t="str">
        <f>IF($I$12="","",IFERROR(IF(Report!$D$4='!'!$HE$4,VLOOKUP(A238,Reference!$B$25:$H$390,4,FALSE),VLOOKUP(A238,Monitoring!$B$25:$H$390,4,FALSE)),""))</f>
        <v/>
      </c>
      <c r="J238" s="256"/>
      <c r="K238" s="299" t="str">
        <f>IF($K$12="","",IFERROR(IF(Report!$D$4='!'!$HE$4,VLOOKUP(A238,Reference!$B$25:$H$390,5,FALSE),VLOOKUP(A238,Monitoring!$B$25:$H$390,5,FALSE)),""))</f>
        <v/>
      </c>
      <c r="L238" s="256"/>
      <c r="M238" s="299" t="str">
        <f>IF($M$12="","",IFERROR(IF(Report!$D$4='!'!$HE$4,VLOOKUP(A238,Reference!$B$25:$H$390,6,FALSE),VLOOKUP(A238,Monitoring!$B$25:$H$390,6,FALSE)),""))</f>
        <v/>
      </c>
      <c r="N238" s="256"/>
      <c r="O238" s="299" t="str">
        <f>IF($O$12="","",IFERROR(IF(Report!$D$4='!'!$HE$4,VLOOKUP(A238,Reference!$B$25:$H$390,7,FALSE),VLOOKUP(A238,Monitoring!$B$25:$H$390,7,FALSE)),""))</f>
        <v/>
      </c>
      <c r="P238" s="51"/>
      <c r="Q238" s="151" t="str">
        <f>IF(B238='!'!$GJ$15,'!'!$GJ$15,$Q$12)</f>
        <v>N</v>
      </c>
      <c r="S238" s="4" t="str">
        <f>IFERROR(ABS(T238),'!'!$GJ$15)</f>
        <v>N</v>
      </c>
      <c r="T238" s="84" t="str">
        <f>IFERROR(+G238-D238,'!'!$GJ$15)</f>
        <v>N</v>
      </c>
      <c r="U238" s="64" t="str">
        <f t="shared" si="7"/>
        <v>N</v>
      </c>
      <c r="W238" s="153" t="str">
        <f>IFERROR(I$10*I238,'!'!$GJ$15)</f>
        <v>N</v>
      </c>
      <c r="X238" s="153" t="str">
        <f>IFERROR(K$10*K238,'!'!$GJ$15)</f>
        <v>N</v>
      </c>
      <c r="Y238" s="153" t="str">
        <f>IFERROR(M$10*M238,'!'!$GJ$15)</f>
        <v>N</v>
      </c>
      <c r="Z238" s="153" t="str">
        <f>IFERROR(O$10*O239,'!'!$GJ$15)</f>
        <v>N</v>
      </c>
    </row>
    <row r="239" spans="1:26" x14ac:dyDescent="0.35">
      <c r="A239" s="4">
        <f t="shared" si="6"/>
        <v>215</v>
      </c>
      <c r="B239" s="286" t="str">
        <f>IFERROR(IF(Report!$D$4='!'!$HE$4,VLOOKUP(A239,Reference!$B$25:$H$390,2,FALSE),VLOOKUP(A239,Monitoring!$B$25:$H$390,2,FALSE)),'!'!$GJ$15)</f>
        <v>N</v>
      </c>
      <c r="C239" s="58" t="str">
        <f>Reference!A239</f>
        <v/>
      </c>
      <c r="D239" s="287" t="str">
        <f>IFERROR(IF(Report!$D$4='!'!$HE$4,VLOOKUP(A239,Reference!$B$25:$H$390,3,FALSE),VLOOKUP(A239,Monitoring!$B$25:$H$390,3,FALSE)),'!'!$GJ$15)</f>
        <v>N</v>
      </c>
      <c r="E239" s="285"/>
      <c r="F239" s="254"/>
      <c r="G239" s="151" t="str">
        <f>IF(D239='!'!$GJ$15,'!'!$GJ$15,(SUM(W239,X239,Y239,Z238,Q239)))</f>
        <v>N</v>
      </c>
      <c r="H239" s="51"/>
      <c r="I239" s="299" t="str">
        <f>IF($I$12="","",IFERROR(IF(Report!$D$4='!'!$HE$4,VLOOKUP(A239,Reference!$B$25:$H$390,4,FALSE),VLOOKUP(A239,Monitoring!$B$25:$H$390,4,FALSE)),""))</f>
        <v/>
      </c>
      <c r="J239" s="256"/>
      <c r="K239" s="299" t="str">
        <f>IF($K$12="","",IFERROR(IF(Report!$D$4='!'!$HE$4,VLOOKUP(A239,Reference!$B$25:$H$390,5,FALSE),VLOOKUP(A239,Monitoring!$B$25:$H$390,5,FALSE)),""))</f>
        <v/>
      </c>
      <c r="L239" s="256"/>
      <c r="M239" s="299" t="str">
        <f>IF($M$12="","",IFERROR(IF(Report!$D$4='!'!$HE$4,VLOOKUP(A239,Reference!$B$25:$H$390,6,FALSE),VLOOKUP(A239,Monitoring!$B$25:$H$390,6,FALSE)),""))</f>
        <v/>
      </c>
      <c r="N239" s="256"/>
      <c r="O239" s="299" t="str">
        <f>IF($O$12="","",IFERROR(IF(Report!$D$4='!'!$HE$4,VLOOKUP(A239,Reference!$B$25:$H$390,7,FALSE),VLOOKUP(A239,Monitoring!$B$25:$H$390,7,FALSE)),""))</f>
        <v/>
      </c>
      <c r="P239" s="51"/>
      <c r="Q239" s="151" t="str">
        <f>IF(B239='!'!$GJ$15,'!'!$GJ$15,$Q$12)</f>
        <v>N</v>
      </c>
      <c r="S239" s="4" t="str">
        <f>IFERROR(ABS(T239),'!'!$GJ$15)</f>
        <v>N</v>
      </c>
      <c r="T239" s="84" t="str">
        <f>IFERROR(+G239-D239,'!'!$GJ$15)</f>
        <v>N</v>
      </c>
      <c r="U239" s="64" t="str">
        <f t="shared" si="7"/>
        <v>N</v>
      </c>
      <c r="W239" s="153" t="str">
        <f>IFERROR(I$10*I239,'!'!$GJ$15)</f>
        <v>N</v>
      </c>
      <c r="X239" s="153" t="str">
        <f>IFERROR(K$10*K239,'!'!$GJ$15)</f>
        <v>N</v>
      </c>
      <c r="Y239" s="153" t="str">
        <f>IFERROR(M$10*M239,'!'!$GJ$15)</f>
        <v>N</v>
      </c>
      <c r="Z239" s="153" t="str">
        <f>IFERROR(O$10*O240,'!'!$GJ$15)</f>
        <v>N</v>
      </c>
    </row>
    <row r="240" spans="1:26" x14ac:dyDescent="0.35">
      <c r="A240" s="4">
        <f t="shared" si="6"/>
        <v>216</v>
      </c>
      <c r="B240" s="286" t="str">
        <f>IFERROR(IF(Report!$D$4='!'!$HE$4,VLOOKUP(A240,Reference!$B$25:$H$390,2,FALSE),VLOOKUP(A240,Monitoring!$B$25:$H$390,2,FALSE)),'!'!$GJ$15)</f>
        <v>N</v>
      </c>
      <c r="C240" s="58" t="str">
        <f>Reference!A240</f>
        <v/>
      </c>
      <c r="D240" s="287" t="str">
        <f>IFERROR(IF(Report!$D$4='!'!$HE$4,VLOOKUP(A240,Reference!$B$25:$H$390,3,FALSE),VLOOKUP(A240,Monitoring!$B$25:$H$390,3,FALSE)),'!'!$GJ$15)</f>
        <v>N</v>
      </c>
      <c r="E240" s="285"/>
      <c r="F240" s="254"/>
      <c r="G240" s="151" t="str">
        <f>IF(D240='!'!$GJ$15,'!'!$GJ$15,(SUM(W240,X240,Y240,Z239,Q240)))</f>
        <v>N</v>
      </c>
      <c r="H240" s="51"/>
      <c r="I240" s="299" t="str">
        <f>IF($I$12="","",IFERROR(IF(Report!$D$4='!'!$HE$4,VLOOKUP(A240,Reference!$B$25:$H$390,4,FALSE),VLOOKUP(A240,Monitoring!$B$25:$H$390,4,FALSE)),""))</f>
        <v/>
      </c>
      <c r="J240" s="256"/>
      <c r="K240" s="299" t="str">
        <f>IF($K$12="","",IFERROR(IF(Report!$D$4='!'!$HE$4,VLOOKUP(A240,Reference!$B$25:$H$390,5,FALSE),VLOOKUP(A240,Monitoring!$B$25:$H$390,5,FALSE)),""))</f>
        <v/>
      </c>
      <c r="L240" s="256"/>
      <c r="M240" s="299" t="str">
        <f>IF($M$12="","",IFERROR(IF(Report!$D$4='!'!$HE$4,VLOOKUP(A240,Reference!$B$25:$H$390,6,FALSE),VLOOKUP(A240,Monitoring!$B$25:$H$390,6,FALSE)),""))</f>
        <v/>
      </c>
      <c r="N240" s="256"/>
      <c r="O240" s="299" t="str">
        <f>IF($O$12="","",IFERROR(IF(Report!$D$4='!'!$HE$4,VLOOKUP(A240,Reference!$B$25:$H$390,7,FALSE),VLOOKUP(A240,Monitoring!$B$25:$H$390,7,FALSE)),""))</f>
        <v/>
      </c>
      <c r="P240" s="51"/>
      <c r="Q240" s="151" t="str">
        <f>IF(B240='!'!$GJ$15,'!'!$GJ$15,$Q$12)</f>
        <v>N</v>
      </c>
      <c r="S240" s="4" t="str">
        <f>IFERROR(ABS(T240),'!'!$GJ$15)</f>
        <v>N</v>
      </c>
      <c r="T240" s="84" t="str">
        <f>IFERROR(+G240-D240,'!'!$GJ$15)</f>
        <v>N</v>
      </c>
      <c r="U240" s="64" t="str">
        <f t="shared" si="7"/>
        <v>N</v>
      </c>
      <c r="W240" s="153" t="str">
        <f>IFERROR(I$10*I240,'!'!$GJ$15)</f>
        <v>N</v>
      </c>
      <c r="X240" s="153" t="str">
        <f>IFERROR(K$10*K240,'!'!$GJ$15)</f>
        <v>N</v>
      </c>
      <c r="Y240" s="153" t="str">
        <f>IFERROR(M$10*M240,'!'!$GJ$15)</f>
        <v>N</v>
      </c>
      <c r="Z240" s="153" t="str">
        <f>IFERROR(O$10*O241,'!'!$GJ$15)</f>
        <v>N</v>
      </c>
    </row>
    <row r="241" spans="1:26" x14ac:dyDescent="0.35">
      <c r="A241" s="4">
        <f t="shared" si="6"/>
        <v>217</v>
      </c>
      <c r="B241" s="286" t="str">
        <f>IFERROR(IF(Report!$D$4='!'!$HE$4,VLOOKUP(A241,Reference!$B$25:$H$390,2,FALSE),VLOOKUP(A241,Monitoring!$B$25:$H$390,2,FALSE)),'!'!$GJ$15)</f>
        <v>N</v>
      </c>
      <c r="C241" s="58" t="str">
        <f>Reference!A241</f>
        <v/>
      </c>
      <c r="D241" s="287" t="str">
        <f>IFERROR(IF(Report!$D$4='!'!$HE$4,VLOOKUP(A241,Reference!$B$25:$H$390,3,FALSE),VLOOKUP(A241,Monitoring!$B$25:$H$390,3,FALSE)),'!'!$GJ$15)</f>
        <v>N</v>
      </c>
      <c r="E241" s="285"/>
      <c r="F241" s="254"/>
      <c r="G241" s="151" t="str">
        <f>IF(D241='!'!$GJ$15,'!'!$GJ$15,(SUM(W241,X241,Y241,Z240,Q241)))</f>
        <v>N</v>
      </c>
      <c r="H241" s="51"/>
      <c r="I241" s="299" t="str">
        <f>IF($I$12="","",IFERROR(IF(Report!$D$4='!'!$HE$4,VLOOKUP(A241,Reference!$B$25:$H$390,4,FALSE),VLOOKUP(A241,Monitoring!$B$25:$H$390,4,FALSE)),""))</f>
        <v/>
      </c>
      <c r="J241" s="256"/>
      <c r="K241" s="299" t="str">
        <f>IF($K$12="","",IFERROR(IF(Report!$D$4='!'!$HE$4,VLOOKUP(A241,Reference!$B$25:$H$390,5,FALSE),VLOOKUP(A241,Monitoring!$B$25:$H$390,5,FALSE)),""))</f>
        <v/>
      </c>
      <c r="L241" s="256"/>
      <c r="M241" s="299" t="str">
        <f>IF($M$12="","",IFERROR(IF(Report!$D$4='!'!$HE$4,VLOOKUP(A241,Reference!$B$25:$H$390,6,FALSE),VLOOKUP(A241,Monitoring!$B$25:$H$390,6,FALSE)),""))</f>
        <v/>
      </c>
      <c r="N241" s="256"/>
      <c r="O241" s="299" t="str">
        <f>IF($O$12="","",IFERROR(IF(Report!$D$4='!'!$HE$4,VLOOKUP(A241,Reference!$B$25:$H$390,7,FALSE),VLOOKUP(A241,Monitoring!$B$25:$H$390,7,FALSE)),""))</f>
        <v/>
      </c>
      <c r="P241" s="51"/>
      <c r="Q241" s="151" t="str">
        <f>IF(B241='!'!$GJ$15,'!'!$GJ$15,$Q$12)</f>
        <v>N</v>
      </c>
      <c r="S241" s="4" t="str">
        <f>IFERROR(ABS(T241),'!'!$GJ$15)</f>
        <v>N</v>
      </c>
      <c r="T241" s="84" t="str">
        <f>IFERROR(+G241-D241,'!'!$GJ$15)</f>
        <v>N</v>
      </c>
      <c r="U241" s="64" t="str">
        <f t="shared" si="7"/>
        <v>N</v>
      </c>
      <c r="W241" s="153" t="str">
        <f>IFERROR(I$10*I241,'!'!$GJ$15)</f>
        <v>N</v>
      </c>
      <c r="X241" s="153" t="str">
        <f>IFERROR(K$10*K241,'!'!$GJ$15)</f>
        <v>N</v>
      </c>
      <c r="Y241" s="153" t="str">
        <f>IFERROR(M$10*M241,'!'!$GJ$15)</f>
        <v>N</v>
      </c>
      <c r="Z241" s="153" t="str">
        <f>IFERROR(O$10*O242,'!'!$GJ$15)</f>
        <v>N</v>
      </c>
    </row>
    <row r="242" spans="1:26" x14ac:dyDescent="0.35">
      <c r="A242" s="4">
        <f t="shared" si="6"/>
        <v>218</v>
      </c>
      <c r="B242" s="286" t="str">
        <f>IFERROR(IF(Report!$D$4='!'!$HE$4,VLOOKUP(A242,Reference!$B$25:$H$390,2,FALSE),VLOOKUP(A242,Monitoring!$B$25:$H$390,2,FALSE)),'!'!$GJ$15)</f>
        <v>N</v>
      </c>
      <c r="C242" s="58" t="str">
        <f>Reference!A242</f>
        <v/>
      </c>
      <c r="D242" s="287" t="str">
        <f>IFERROR(IF(Report!$D$4='!'!$HE$4,VLOOKUP(A242,Reference!$B$25:$H$390,3,FALSE),VLOOKUP(A242,Monitoring!$B$25:$H$390,3,FALSE)),'!'!$GJ$15)</f>
        <v>N</v>
      </c>
      <c r="E242" s="285"/>
      <c r="F242" s="254"/>
      <c r="G242" s="151" t="str">
        <f>IF(D242='!'!$GJ$15,'!'!$GJ$15,(SUM(W242,X242,Y242,Z241,Q242)))</f>
        <v>N</v>
      </c>
      <c r="H242" s="51"/>
      <c r="I242" s="299" t="str">
        <f>IF($I$12="","",IFERROR(IF(Report!$D$4='!'!$HE$4,VLOOKUP(A242,Reference!$B$25:$H$390,4,FALSE),VLOOKUP(A242,Monitoring!$B$25:$H$390,4,FALSE)),""))</f>
        <v/>
      </c>
      <c r="J242" s="256"/>
      <c r="K242" s="299" t="str">
        <f>IF($K$12="","",IFERROR(IF(Report!$D$4='!'!$HE$4,VLOOKUP(A242,Reference!$B$25:$H$390,5,FALSE),VLOOKUP(A242,Monitoring!$B$25:$H$390,5,FALSE)),""))</f>
        <v/>
      </c>
      <c r="L242" s="256"/>
      <c r="M242" s="299" t="str">
        <f>IF($M$12="","",IFERROR(IF(Report!$D$4='!'!$HE$4,VLOOKUP(A242,Reference!$B$25:$H$390,6,FALSE),VLOOKUP(A242,Monitoring!$B$25:$H$390,6,FALSE)),""))</f>
        <v/>
      </c>
      <c r="N242" s="256"/>
      <c r="O242" s="299" t="str">
        <f>IF($O$12="","",IFERROR(IF(Report!$D$4='!'!$HE$4,VLOOKUP(A242,Reference!$B$25:$H$390,7,FALSE),VLOOKUP(A242,Monitoring!$B$25:$H$390,7,FALSE)),""))</f>
        <v/>
      </c>
      <c r="P242" s="51"/>
      <c r="Q242" s="151" t="str">
        <f>IF(B242='!'!$GJ$15,'!'!$GJ$15,$Q$12)</f>
        <v>N</v>
      </c>
      <c r="S242" s="4" t="str">
        <f>IFERROR(ABS(T242),'!'!$GJ$15)</f>
        <v>N</v>
      </c>
      <c r="T242" s="84" t="str">
        <f>IFERROR(+G242-D242,'!'!$GJ$15)</f>
        <v>N</v>
      </c>
      <c r="U242" s="64" t="str">
        <f t="shared" si="7"/>
        <v>N</v>
      </c>
      <c r="W242" s="153" t="str">
        <f>IFERROR(I$10*I242,'!'!$GJ$15)</f>
        <v>N</v>
      </c>
      <c r="X242" s="153" t="str">
        <f>IFERROR(K$10*K242,'!'!$GJ$15)</f>
        <v>N</v>
      </c>
      <c r="Y242" s="153" t="str">
        <f>IFERROR(M$10*M242,'!'!$GJ$15)</f>
        <v>N</v>
      </c>
      <c r="Z242" s="153" t="str">
        <f>IFERROR(O$10*O243,'!'!$GJ$15)</f>
        <v>N</v>
      </c>
    </row>
    <row r="243" spans="1:26" x14ac:dyDescent="0.35">
      <c r="A243" s="4">
        <f t="shared" si="6"/>
        <v>219</v>
      </c>
      <c r="B243" s="286" t="str">
        <f>IFERROR(IF(Report!$D$4='!'!$HE$4,VLOOKUP(A243,Reference!$B$25:$H$390,2,FALSE),VLOOKUP(A243,Monitoring!$B$25:$H$390,2,FALSE)),'!'!$GJ$15)</f>
        <v>N</v>
      </c>
      <c r="C243" s="58" t="str">
        <f>Reference!A243</f>
        <v/>
      </c>
      <c r="D243" s="287" t="str">
        <f>IFERROR(IF(Report!$D$4='!'!$HE$4,VLOOKUP(A243,Reference!$B$25:$H$390,3,FALSE),VLOOKUP(A243,Monitoring!$B$25:$H$390,3,FALSE)),'!'!$GJ$15)</f>
        <v>N</v>
      </c>
      <c r="E243" s="285"/>
      <c r="F243" s="254"/>
      <c r="G243" s="151" t="str">
        <f>IF(D243='!'!$GJ$15,'!'!$GJ$15,(SUM(W243,X243,Y243,Z242,Q243)))</f>
        <v>N</v>
      </c>
      <c r="H243" s="51"/>
      <c r="I243" s="299" t="str">
        <f>IF($I$12="","",IFERROR(IF(Report!$D$4='!'!$HE$4,VLOOKUP(A243,Reference!$B$25:$H$390,4,FALSE),VLOOKUP(A243,Monitoring!$B$25:$H$390,4,FALSE)),""))</f>
        <v/>
      </c>
      <c r="J243" s="256"/>
      <c r="K243" s="299" t="str">
        <f>IF($K$12="","",IFERROR(IF(Report!$D$4='!'!$HE$4,VLOOKUP(A243,Reference!$B$25:$H$390,5,FALSE),VLOOKUP(A243,Monitoring!$B$25:$H$390,5,FALSE)),""))</f>
        <v/>
      </c>
      <c r="L243" s="256"/>
      <c r="M243" s="299" t="str">
        <f>IF($M$12="","",IFERROR(IF(Report!$D$4='!'!$HE$4,VLOOKUP(A243,Reference!$B$25:$H$390,6,FALSE),VLOOKUP(A243,Monitoring!$B$25:$H$390,6,FALSE)),""))</f>
        <v/>
      </c>
      <c r="N243" s="256"/>
      <c r="O243" s="299" t="str">
        <f>IF($O$12="","",IFERROR(IF(Report!$D$4='!'!$HE$4,VLOOKUP(A243,Reference!$B$25:$H$390,7,FALSE),VLOOKUP(A243,Monitoring!$B$25:$H$390,7,FALSE)),""))</f>
        <v/>
      </c>
      <c r="P243" s="51"/>
      <c r="Q243" s="151" t="str">
        <f>IF(B243='!'!$GJ$15,'!'!$GJ$15,$Q$12)</f>
        <v>N</v>
      </c>
      <c r="S243" s="4" t="str">
        <f>IFERROR(ABS(T243),'!'!$GJ$15)</f>
        <v>N</v>
      </c>
      <c r="T243" s="84" t="str">
        <f>IFERROR(+G243-D243,'!'!$GJ$15)</f>
        <v>N</v>
      </c>
      <c r="U243" s="64" t="str">
        <f t="shared" si="7"/>
        <v>N</v>
      </c>
      <c r="W243" s="153" t="str">
        <f>IFERROR(I$10*I243,'!'!$GJ$15)</f>
        <v>N</v>
      </c>
      <c r="X243" s="153" t="str">
        <f>IFERROR(K$10*K243,'!'!$GJ$15)</f>
        <v>N</v>
      </c>
      <c r="Y243" s="153" t="str">
        <f>IFERROR(M$10*M243,'!'!$GJ$15)</f>
        <v>N</v>
      </c>
      <c r="Z243" s="153" t="str">
        <f>IFERROR(O$10*O244,'!'!$GJ$15)</f>
        <v>N</v>
      </c>
    </row>
    <row r="244" spans="1:26" x14ac:dyDescent="0.35">
      <c r="A244" s="4">
        <f t="shared" si="6"/>
        <v>220</v>
      </c>
      <c r="B244" s="286" t="str">
        <f>IFERROR(IF(Report!$D$4='!'!$HE$4,VLOOKUP(A244,Reference!$B$25:$H$390,2,FALSE),VLOOKUP(A244,Monitoring!$B$25:$H$390,2,FALSE)),'!'!$GJ$15)</f>
        <v>N</v>
      </c>
      <c r="C244" s="58" t="str">
        <f>Reference!A244</f>
        <v/>
      </c>
      <c r="D244" s="287" t="str">
        <f>IFERROR(IF(Report!$D$4='!'!$HE$4,VLOOKUP(A244,Reference!$B$25:$H$390,3,FALSE),VLOOKUP(A244,Monitoring!$B$25:$H$390,3,FALSE)),'!'!$GJ$15)</f>
        <v>N</v>
      </c>
      <c r="E244" s="285"/>
      <c r="F244" s="254"/>
      <c r="G244" s="151" t="str">
        <f>IF(D244='!'!$GJ$15,'!'!$GJ$15,(SUM(W244,X244,Y244,Z243,Q244)))</f>
        <v>N</v>
      </c>
      <c r="H244" s="51"/>
      <c r="I244" s="299" t="str">
        <f>IF($I$12="","",IFERROR(IF(Report!$D$4='!'!$HE$4,VLOOKUP(A244,Reference!$B$25:$H$390,4,FALSE),VLOOKUP(A244,Monitoring!$B$25:$H$390,4,FALSE)),""))</f>
        <v/>
      </c>
      <c r="J244" s="256"/>
      <c r="K244" s="299" t="str">
        <f>IF($K$12="","",IFERROR(IF(Report!$D$4='!'!$HE$4,VLOOKUP(A244,Reference!$B$25:$H$390,5,FALSE),VLOOKUP(A244,Monitoring!$B$25:$H$390,5,FALSE)),""))</f>
        <v/>
      </c>
      <c r="L244" s="256"/>
      <c r="M244" s="299" t="str">
        <f>IF($M$12="","",IFERROR(IF(Report!$D$4='!'!$HE$4,VLOOKUP(A244,Reference!$B$25:$H$390,6,FALSE),VLOOKUP(A244,Monitoring!$B$25:$H$390,6,FALSE)),""))</f>
        <v/>
      </c>
      <c r="N244" s="256"/>
      <c r="O244" s="299" t="str">
        <f>IF($O$12="","",IFERROR(IF(Report!$D$4='!'!$HE$4,VLOOKUP(A244,Reference!$B$25:$H$390,7,FALSE),VLOOKUP(A244,Monitoring!$B$25:$H$390,7,FALSE)),""))</f>
        <v/>
      </c>
      <c r="P244" s="51"/>
      <c r="Q244" s="151" t="str">
        <f>IF(B244='!'!$GJ$15,'!'!$GJ$15,$Q$12)</f>
        <v>N</v>
      </c>
      <c r="S244" s="4" t="str">
        <f>IFERROR(ABS(T244),'!'!$GJ$15)</f>
        <v>N</v>
      </c>
      <c r="T244" s="84" t="str">
        <f>IFERROR(+G244-D244,'!'!$GJ$15)</f>
        <v>N</v>
      </c>
      <c r="U244" s="64" t="str">
        <f t="shared" si="7"/>
        <v>N</v>
      </c>
      <c r="W244" s="153" t="str">
        <f>IFERROR(I$10*I244,'!'!$GJ$15)</f>
        <v>N</v>
      </c>
      <c r="X244" s="153" t="str">
        <f>IFERROR(K$10*K244,'!'!$GJ$15)</f>
        <v>N</v>
      </c>
      <c r="Y244" s="153" t="str">
        <f>IFERROR(M$10*M244,'!'!$GJ$15)</f>
        <v>N</v>
      </c>
      <c r="Z244" s="153" t="str">
        <f>IFERROR(O$10*O245,'!'!$GJ$15)</f>
        <v>N</v>
      </c>
    </row>
    <row r="245" spans="1:26" x14ac:dyDescent="0.35">
      <c r="A245" s="4">
        <f t="shared" si="6"/>
        <v>221</v>
      </c>
      <c r="B245" s="286" t="str">
        <f>IFERROR(IF(Report!$D$4='!'!$HE$4,VLOOKUP(A245,Reference!$B$25:$H$390,2,FALSE),VLOOKUP(A245,Monitoring!$B$25:$H$390,2,FALSE)),'!'!$GJ$15)</f>
        <v>N</v>
      </c>
      <c r="C245" s="58" t="str">
        <f>Reference!A245</f>
        <v/>
      </c>
      <c r="D245" s="287" t="str">
        <f>IFERROR(IF(Report!$D$4='!'!$HE$4,VLOOKUP(A245,Reference!$B$25:$H$390,3,FALSE),VLOOKUP(A245,Monitoring!$B$25:$H$390,3,FALSE)),'!'!$GJ$15)</f>
        <v>N</v>
      </c>
      <c r="E245" s="285"/>
      <c r="F245" s="254"/>
      <c r="G245" s="151" t="str">
        <f>IF(D245='!'!$GJ$15,'!'!$GJ$15,(SUM(W245,X245,Y245,Z244,Q245)))</f>
        <v>N</v>
      </c>
      <c r="H245" s="51"/>
      <c r="I245" s="299" t="str">
        <f>IF($I$12="","",IFERROR(IF(Report!$D$4='!'!$HE$4,VLOOKUP(A245,Reference!$B$25:$H$390,4,FALSE),VLOOKUP(A245,Monitoring!$B$25:$H$390,4,FALSE)),""))</f>
        <v/>
      </c>
      <c r="J245" s="256"/>
      <c r="K245" s="299" t="str">
        <f>IF($K$12="","",IFERROR(IF(Report!$D$4='!'!$HE$4,VLOOKUP(A245,Reference!$B$25:$H$390,5,FALSE),VLOOKUP(A245,Monitoring!$B$25:$H$390,5,FALSE)),""))</f>
        <v/>
      </c>
      <c r="L245" s="256"/>
      <c r="M245" s="299" t="str">
        <f>IF($M$12="","",IFERROR(IF(Report!$D$4='!'!$HE$4,VLOOKUP(A245,Reference!$B$25:$H$390,6,FALSE),VLOOKUP(A245,Monitoring!$B$25:$H$390,6,FALSE)),""))</f>
        <v/>
      </c>
      <c r="N245" s="256"/>
      <c r="O245" s="299" t="str">
        <f>IF($O$12="","",IFERROR(IF(Report!$D$4='!'!$HE$4,VLOOKUP(A245,Reference!$B$25:$H$390,7,FALSE),VLOOKUP(A245,Monitoring!$B$25:$H$390,7,FALSE)),""))</f>
        <v/>
      </c>
      <c r="P245" s="51"/>
      <c r="Q245" s="151" t="str">
        <f>IF(B245='!'!$GJ$15,'!'!$GJ$15,$Q$12)</f>
        <v>N</v>
      </c>
      <c r="S245" s="4" t="str">
        <f>IFERROR(ABS(T245),'!'!$GJ$15)</f>
        <v>N</v>
      </c>
      <c r="T245" s="84" t="str">
        <f>IFERROR(+G245-D245,'!'!$GJ$15)</f>
        <v>N</v>
      </c>
      <c r="U245" s="64" t="str">
        <f t="shared" si="7"/>
        <v>N</v>
      </c>
      <c r="W245" s="153" t="str">
        <f>IFERROR(I$10*I245,'!'!$GJ$15)</f>
        <v>N</v>
      </c>
      <c r="X245" s="153" t="str">
        <f>IFERROR(K$10*K245,'!'!$GJ$15)</f>
        <v>N</v>
      </c>
      <c r="Y245" s="153" t="str">
        <f>IFERROR(M$10*M245,'!'!$GJ$15)</f>
        <v>N</v>
      </c>
      <c r="Z245" s="153" t="str">
        <f>IFERROR(O$10*O246,'!'!$GJ$15)</f>
        <v>N</v>
      </c>
    </row>
    <row r="246" spans="1:26" x14ac:dyDescent="0.35">
      <c r="A246" s="4">
        <f t="shared" si="6"/>
        <v>222</v>
      </c>
      <c r="B246" s="286" t="str">
        <f>IFERROR(IF(Report!$D$4='!'!$HE$4,VLOOKUP(A246,Reference!$B$25:$H$390,2,FALSE),VLOOKUP(A246,Monitoring!$B$25:$H$390,2,FALSE)),'!'!$GJ$15)</f>
        <v>N</v>
      </c>
      <c r="C246" s="58" t="str">
        <f>Reference!A246</f>
        <v/>
      </c>
      <c r="D246" s="287" t="str">
        <f>IFERROR(IF(Report!$D$4='!'!$HE$4,VLOOKUP(A246,Reference!$B$25:$H$390,3,FALSE),VLOOKUP(A246,Monitoring!$B$25:$H$390,3,FALSE)),'!'!$GJ$15)</f>
        <v>N</v>
      </c>
      <c r="E246" s="285"/>
      <c r="F246" s="254"/>
      <c r="G246" s="151" t="str">
        <f>IF(D246='!'!$GJ$15,'!'!$GJ$15,(SUM(W246,X246,Y246,Z245,Q246)))</f>
        <v>N</v>
      </c>
      <c r="H246" s="51"/>
      <c r="I246" s="299" t="str">
        <f>IF($I$12="","",IFERROR(IF(Report!$D$4='!'!$HE$4,VLOOKUP(A246,Reference!$B$25:$H$390,4,FALSE),VLOOKUP(A246,Monitoring!$B$25:$H$390,4,FALSE)),""))</f>
        <v/>
      </c>
      <c r="J246" s="256"/>
      <c r="K246" s="299" t="str">
        <f>IF($K$12="","",IFERROR(IF(Report!$D$4='!'!$HE$4,VLOOKUP(A246,Reference!$B$25:$H$390,5,FALSE),VLOOKUP(A246,Monitoring!$B$25:$H$390,5,FALSE)),""))</f>
        <v/>
      </c>
      <c r="L246" s="256"/>
      <c r="M246" s="299" t="str">
        <f>IF($M$12="","",IFERROR(IF(Report!$D$4='!'!$HE$4,VLOOKUP(A246,Reference!$B$25:$H$390,6,FALSE),VLOOKUP(A246,Monitoring!$B$25:$H$390,6,FALSE)),""))</f>
        <v/>
      </c>
      <c r="N246" s="256"/>
      <c r="O246" s="299" t="str">
        <f>IF($O$12="","",IFERROR(IF(Report!$D$4='!'!$HE$4,VLOOKUP(A246,Reference!$B$25:$H$390,7,FALSE),VLOOKUP(A246,Monitoring!$B$25:$H$390,7,FALSE)),""))</f>
        <v/>
      </c>
      <c r="P246" s="51"/>
      <c r="Q246" s="151" t="str">
        <f>IF(B246='!'!$GJ$15,'!'!$GJ$15,$Q$12)</f>
        <v>N</v>
      </c>
      <c r="S246" s="4" t="str">
        <f>IFERROR(ABS(T246),'!'!$GJ$15)</f>
        <v>N</v>
      </c>
      <c r="T246" s="84" t="str">
        <f>IFERROR(+G246-D246,'!'!$GJ$15)</f>
        <v>N</v>
      </c>
      <c r="U246" s="64" t="str">
        <f t="shared" si="7"/>
        <v>N</v>
      </c>
      <c r="W246" s="153" t="str">
        <f>IFERROR(I$10*I246,'!'!$GJ$15)</f>
        <v>N</v>
      </c>
      <c r="X246" s="153" t="str">
        <f>IFERROR(K$10*K246,'!'!$GJ$15)</f>
        <v>N</v>
      </c>
      <c r="Y246" s="153" t="str">
        <f>IFERROR(M$10*M246,'!'!$GJ$15)</f>
        <v>N</v>
      </c>
      <c r="Z246" s="153" t="str">
        <f>IFERROR(O$10*O247,'!'!$GJ$15)</f>
        <v>N</v>
      </c>
    </row>
    <row r="247" spans="1:26" x14ac:dyDescent="0.35">
      <c r="A247" s="4">
        <f t="shared" si="6"/>
        <v>223</v>
      </c>
      <c r="B247" s="286" t="str">
        <f>IFERROR(IF(Report!$D$4='!'!$HE$4,VLOOKUP(A247,Reference!$B$25:$H$390,2,FALSE),VLOOKUP(A247,Monitoring!$B$25:$H$390,2,FALSE)),'!'!$GJ$15)</f>
        <v>N</v>
      </c>
      <c r="C247" s="58" t="str">
        <f>Reference!A247</f>
        <v/>
      </c>
      <c r="D247" s="287" t="str">
        <f>IFERROR(IF(Report!$D$4='!'!$HE$4,VLOOKUP(A247,Reference!$B$25:$H$390,3,FALSE),VLOOKUP(A247,Monitoring!$B$25:$H$390,3,FALSE)),'!'!$GJ$15)</f>
        <v>N</v>
      </c>
      <c r="E247" s="285"/>
      <c r="F247" s="254"/>
      <c r="G247" s="151" t="str">
        <f>IF(D247='!'!$GJ$15,'!'!$GJ$15,(SUM(W247,X247,Y247,Z246,Q247)))</f>
        <v>N</v>
      </c>
      <c r="H247" s="51"/>
      <c r="I247" s="299" t="str">
        <f>IF($I$12="","",IFERROR(IF(Report!$D$4='!'!$HE$4,VLOOKUP(A247,Reference!$B$25:$H$390,4,FALSE),VLOOKUP(A247,Monitoring!$B$25:$H$390,4,FALSE)),""))</f>
        <v/>
      </c>
      <c r="J247" s="256"/>
      <c r="K247" s="299" t="str">
        <f>IF($K$12="","",IFERROR(IF(Report!$D$4='!'!$HE$4,VLOOKUP(A247,Reference!$B$25:$H$390,5,FALSE),VLOOKUP(A247,Monitoring!$B$25:$H$390,5,FALSE)),""))</f>
        <v/>
      </c>
      <c r="L247" s="256"/>
      <c r="M247" s="299" t="str">
        <f>IF($M$12="","",IFERROR(IF(Report!$D$4='!'!$HE$4,VLOOKUP(A247,Reference!$B$25:$H$390,6,FALSE),VLOOKUP(A247,Monitoring!$B$25:$H$390,6,FALSE)),""))</f>
        <v/>
      </c>
      <c r="N247" s="256"/>
      <c r="O247" s="299" t="str">
        <f>IF($O$12="","",IFERROR(IF(Report!$D$4='!'!$HE$4,VLOOKUP(A247,Reference!$B$25:$H$390,7,FALSE),VLOOKUP(A247,Monitoring!$B$25:$H$390,7,FALSE)),""))</f>
        <v/>
      </c>
      <c r="P247" s="51"/>
      <c r="Q247" s="151" t="str">
        <f>IF(B247='!'!$GJ$15,'!'!$GJ$15,$Q$12)</f>
        <v>N</v>
      </c>
      <c r="S247" s="4" t="str">
        <f>IFERROR(ABS(T247),'!'!$GJ$15)</f>
        <v>N</v>
      </c>
      <c r="T247" s="84" t="str">
        <f>IFERROR(+G247-D247,'!'!$GJ$15)</f>
        <v>N</v>
      </c>
      <c r="U247" s="64" t="str">
        <f t="shared" si="7"/>
        <v>N</v>
      </c>
      <c r="W247" s="153" t="str">
        <f>IFERROR(I$10*I247,'!'!$GJ$15)</f>
        <v>N</v>
      </c>
      <c r="X247" s="153" t="str">
        <f>IFERROR(K$10*K247,'!'!$GJ$15)</f>
        <v>N</v>
      </c>
      <c r="Y247" s="153" t="str">
        <f>IFERROR(M$10*M247,'!'!$GJ$15)</f>
        <v>N</v>
      </c>
      <c r="Z247" s="153" t="str">
        <f>IFERROR(O$10*O248,'!'!$GJ$15)</f>
        <v>N</v>
      </c>
    </row>
    <row r="248" spans="1:26" x14ac:dyDescent="0.35">
      <c r="A248" s="4">
        <f t="shared" si="6"/>
        <v>224</v>
      </c>
      <c r="B248" s="286" t="str">
        <f>IFERROR(IF(Report!$D$4='!'!$HE$4,VLOOKUP(A248,Reference!$B$25:$H$390,2,FALSE),VLOOKUP(A248,Monitoring!$B$25:$H$390,2,FALSE)),'!'!$GJ$15)</f>
        <v>N</v>
      </c>
      <c r="C248" s="58" t="str">
        <f>Reference!A248</f>
        <v/>
      </c>
      <c r="D248" s="287" t="str">
        <f>IFERROR(IF(Report!$D$4='!'!$HE$4,VLOOKUP(A248,Reference!$B$25:$H$390,3,FALSE),VLOOKUP(A248,Monitoring!$B$25:$H$390,3,FALSE)),'!'!$GJ$15)</f>
        <v>N</v>
      </c>
      <c r="E248" s="285"/>
      <c r="F248" s="254"/>
      <c r="G248" s="151" t="str">
        <f>IF(D248='!'!$GJ$15,'!'!$GJ$15,(SUM(W248,X248,Y248,Z247,Q248)))</f>
        <v>N</v>
      </c>
      <c r="H248" s="51"/>
      <c r="I248" s="299" t="str">
        <f>IF($I$12="","",IFERROR(IF(Report!$D$4='!'!$HE$4,VLOOKUP(A248,Reference!$B$25:$H$390,4,FALSE),VLOOKUP(A248,Monitoring!$B$25:$H$390,4,FALSE)),""))</f>
        <v/>
      </c>
      <c r="J248" s="256"/>
      <c r="K248" s="299" t="str">
        <f>IF($K$12="","",IFERROR(IF(Report!$D$4='!'!$HE$4,VLOOKUP(A248,Reference!$B$25:$H$390,5,FALSE),VLOOKUP(A248,Monitoring!$B$25:$H$390,5,FALSE)),""))</f>
        <v/>
      </c>
      <c r="L248" s="256"/>
      <c r="M248" s="299" t="str">
        <f>IF($M$12="","",IFERROR(IF(Report!$D$4='!'!$HE$4,VLOOKUP(A248,Reference!$B$25:$H$390,6,FALSE),VLOOKUP(A248,Monitoring!$B$25:$H$390,6,FALSE)),""))</f>
        <v/>
      </c>
      <c r="N248" s="256"/>
      <c r="O248" s="299" t="str">
        <f>IF($O$12="","",IFERROR(IF(Report!$D$4='!'!$HE$4,VLOOKUP(A248,Reference!$B$25:$H$390,7,FALSE),VLOOKUP(A248,Monitoring!$B$25:$H$390,7,FALSE)),""))</f>
        <v/>
      </c>
      <c r="P248" s="51"/>
      <c r="Q248" s="151" t="str">
        <f>IF(B248='!'!$GJ$15,'!'!$GJ$15,$Q$12)</f>
        <v>N</v>
      </c>
      <c r="S248" s="4" t="str">
        <f>IFERROR(ABS(T248),'!'!$GJ$15)</f>
        <v>N</v>
      </c>
      <c r="T248" s="84" t="str">
        <f>IFERROR(+G248-D248,'!'!$GJ$15)</f>
        <v>N</v>
      </c>
      <c r="U248" s="64" t="str">
        <f t="shared" si="7"/>
        <v>N</v>
      </c>
      <c r="W248" s="153" t="str">
        <f>IFERROR(I$10*I248,'!'!$GJ$15)</f>
        <v>N</v>
      </c>
      <c r="X248" s="153" t="str">
        <f>IFERROR(K$10*K248,'!'!$GJ$15)</f>
        <v>N</v>
      </c>
      <c r="Y248" s="153" t="str">
        <f>IFERROR(M$10*M248,'!'!$GJ$15)</f>
        <v>N</v>
      </c>
      <c r="Z248" s="153" t="str">
        <f>IFERROR(O$10*O249,'!'!$GJ$15)</f>
        <v>N</v>
      </c>
    </row>
    <row r="249" spans="1:26" x14ac:dyDescent="0.35">
      <c r="A249" s="4">
        <f t="shared" si="6"/>
        <v>225</v>
      </c>
      <c r="B249" s="286" t="str">
        <f>IFERROR(IF(Report!$D$4='!'!$HE$4,VLOOKUP(A249,Reference!$B$25:$H$390,2,FALSE),VLOOKUP(A249,Monitoring!$B$25:$H$390,2,FALSE)),'!'!$GJ$15)</f>
        <v>N</v>
      </c>
      <c r="C249" s="58" t="str">
        <f>Reference!A249</f>
        <v/>
      </c>
      <c r="D249" s="287" t="str">
        <f>IFERROR(IF(Report!$D$4='!'!$HE$4,VLOOKUP(A249,Reference!$B$25:$H$390,3,FALSE),VLOOKUP(A249,Monitoring!$B$25:$H$390,3,FALSE)),'!'!$GJ$15)</f>
        <v>N</v>
      </c>
      <c r="E249" s="285"/>
      <c r="F249" s="254"/>
      <c r="G249" s="151" t="str">
        <f>IF(D249='!'!$GJ$15,'!'!$GJ$15,(SUM(W249,X249,Y249,Z248,Q249)))</f>
        <v>N</v>
      </c>
      <c r="H249" s="51"/>
      <c r="I249" s="299" t="str">
        <f>IF($I$12="","",IFERROR(IF(Report!$D$4='!'!$HE$4,VLOOKUP(A249,Reference!$B$25:$H$390,4,FALSE),VLOOKUP(A249,Monitoring!$B$25:$H$390,4,FALSE)),""))</f>
        <v/>
      </c>
      <c r="J249" s="256"/>
      <c r="K249" s="299" t="str">
        <f>IF($K$12="","",IFERROR(IF(Report!$D$4='!'!$HE$4,VLOOKUP(A249,Reference!$B$25:$H$390,5,FALSE),VLOOKUP(A249,Monitoring!$B$25:$H$390,5,FALSE)),""))</f>
        <v/>
      </c>
      <c r="L249" s="256"/>
      <c r="M249" s="299" t="str">
        <f>IF($M$12="","",IFERROR(IF(Report!$D$4='!'!$HE$4,VLOOKUP(A249,Reference!$B$25:$H$390,6,FALSE),VLOOKUP(A249,Monitoring!$B$25:$H$390,6,FALSE)),""))</f>
        <v/>
      </c>
      <c r="N249" s="256"/>
      <c r="O249" s="299" t="str">
        <f>IF($O$12="","",IFERROR(IF(Report!$D$4='!'!$HE$4,VLOOKUP(A249,Reference!$B$25:$H$390,7,FALSE),VLOOKUP(A249,Monitoring!$B$25:$H$390,7,FALSE)),""))</f>
        <v/>
      </c>
      <c r="P249" s="51"/>
      <c r="Q249" s="151" t="str">
        <f>IF(B249='!'!$GJ$15,'!'!$GJ$15,$Q$12)</f>
        <v>N</v>
      </c>
      <c r="S249" s="4" t="str">
        <f>IFERROR(ABS(T249),'!'!$GJ$15)</f>
        <v>N</v>
      </c>
      <c r="T249" s="84" t="str">
        <f>IFERROR(+G249-D249,'!'!$GJ$15)</f>
        <v>N</v>
      </c>
      <c r="U249" s="64" t="str">
        <f t="shared" si="7"/>
        <v>N</v>
      </c>
      <c r="W249" s="153" t="str">
        <f>IFERROR(I$10*I249,'!'!$GJ$15)</f>
        <v>N</v>
      </c>
      <c r="X249" s="153" t="str">
        <f>IFERROR(K$10*K249,'!'!$GJ$15)</f>
        <v>N</v>
      </c>
      <c r="Y249" s="153" t="str">
        <f>IFERROR(M$10*M249,'!'!$GJ$15)</f>
        <v>N</v>
      </c>
      <c r="Z249" s="153" t="str">
        <f>IFERROR(O$10*O250,'!'!$GJ$15)</f>
        <v>N</v>
      </c>
    </row>
    <row r="250" spans="1:26" x14ac:dyDescent="0.35">
      <c r="A250" s="4">
        <f t="shared" si="6"/>
        <v>226</v>
      </c>
      <c r="B250" s="286" t="str">
        <f>IFERROR(IF(Report!$D$4='!'!$HE$4,VLOOKUP(A250,Reference!$B$25:$H$390,2,FALSE),VLOOKUP(A250,Monitoring!$B$25:$H$390,2,FALSE)),'!'!$GJ$15)</f>
        <v>N</v>
      </c>
      <c r="C250" s="58" t="str">
        <f>Reference!A250</f>
        <v/>
      </c>
      <c r="D250" s="287" t="str">
        <f>IFERROR(IF(Report!$D$4='!'!$HE$4,VLOOKUP(A250,Reference!$B$25:$H$390,3,FALSE),VLOOKUP(A250,Monitoring!$B$25:$H$390,3,FALSE)),'!'!$GJ$15)</f>
        <v>N</v>
      </c>
      <c r="E250" s="285"/>
      <c r="F250" s="254"/>
      <c r="G250" s="151" t="str">
        <f>IF(D250='!'!$GJ$15,'!'!$GJ$15,(SUM(W250,X250,Y250,Z249,Q250)))</f>
        <v>N</v>
      </c>
      <c r="H250" s="51"/>
      <c r="I250" s="299" t="str">
        <f>IF($I$12="","",IFERROR(IF(Report!$D$4='!'!$HE$4,VLOOKUP(A250,Reference!$B$25:$H$390,4,FALSE),VLOOKUP(A250,Monitoring!$B$25:$H$390,4,FALSE)),""))</f>
        <v/>
      </c>
      <c r="J250" s="256"/>
      <c r="K250" s="299" t="str">
        <f>IF($K$12="","",IFERROR(IF(Report!$D$4='!'!$HE$4,VLOOKUP(A250,Reference!$B$25:$H$390,5,FALSE),VLOOKUP(A250,Monitoring!$B$25:$H$390,5,FALSE)),""))</f>
        <v/>
      </c>
      <c r="L250" s="256"/>
      <c r="M250" s="299" t="str">
        <f>IF($M$12="","",IFERROR(IF(Report!$D$4='!'!$HE$4,VLOOKUP(A250,Reference!$B$25:$H$390,6,FALSE),VLOOKUP(A250,Monitoring!$B$25:$H$390,6,FALSE)),""))</f>
        <v/>
      </c>
      <c r="N250" s="256"/>
      <c r="O250" s="299" t="str">
        <f>IF($O$12="","",IFERROR(IF(Report!$D$4='!'!$HE$4,VLOOKUP(A250,Reference!$B$25:$H$390,7,FALSE),VLOOKUP(A250,Monitoring!$B$25:$H$390,7,FALSE)),""))</f>
        <v/>
      </c>
      <c r="P250" s="51"/>
      <c r="Q250" s="151" t="str">
        <f>IF(B250='!'!$GJ$15,'!'!$GJ$15,$Q$12)</f>
        <v>N</v>
      </c>
      <c r="S250" s="4" t="str">
        <f>IFERROR(ABS(T250),'!'!$GJ$15)</f>
        <v>N</v>
      </c>
      <c r="T250" s="84" t="str">
        <f>IFERROR(+G250-D250,'!'!$GJ$15)</f>
        <v>N</v>
      </c>
      <c r="U250" s="64" t="str">
        <f t="shared" si="7"/>
        <v>N</v>
      </c>
      <c r="W250" s="153" t="str">
        <f>IFERROR(I$10*I250,'!'!$GJ$15)</f>
        <v>N</v>
      </c>
      <c r="X250" s="153" t="str">
        <f>IFERROR(K$10*K250,'!'!$GJ$15)</f>
        <v>N</v>
      </c>
      <c r="Y250" s="153" t="str">
        <f>IFERROR(M$10*M250,'!'!$GJ$15)</f>
        <v>N</v>
      </c>
      <c r="Z250" s="153" t="str">
        <f>IFERROR(O$10*O251,'!'!$GJ$15)</f>
        <v>N</v>
      </c>
    </row>
    <row r="251" spans="1:26" x14ac:dyDescent="0.35">
      <c r="A251" s="4">
        <f t="shared" si="6"/>
        <v>227</v>
      </c>
      <c r="B251" s="286" t="str">
        <f>IFERROR(IF(Report!$D$4='!'!$HE$4,VLOOKUP(A251,Reference!$B$25:$H$390,2,FALSE),VLOOKUP(A251,Monitoring!$B$25:$H$390,2,FALSE)),'!'!$GJ$15)</f>
        <v>N</v>
      </c>
      <c r="C251" s="58" t="str">
        <f>Reference!A251</f>
        <v/>
      </c>
      <c r="D251" s="287" t="str">
        <f>IFERROR(IF(Report!$D$4='!'!$HE$4,VLOOKUP(A251,Reference!$B$25:$H$390,3,FALSE),VLOOKUP(A251,Monitoring!$B$25:$H$390,3,FALSE)),'!'!$GJ$15)</f>
        <v>N</v>
      </c>
      <c r="E251" s="285"/>
      <c r="F251" s="254"/>
      <c r="G251" s="151" t="str">
        <f>IF(D251='!'!$GJ$15,'!'!$GJ$15,(SUM(W251,X251,Y251,Z250,Q251)))</f>
        <v>N</v>
      </c>
      <c r="H251" s="51"/>
      <c r="I251" s="299" t="str">
        <f>IF($I$12="","",IFERROR(IF(Report!$D$4='!'!$HE$4,VLOOKUP(A251,Reference!$B$25:$H$390,4,FALSE),VLOOKUP(A251,Monitoring!$B$25:$H$390,4,FALSE)),""))</f>
        <v/>
      </c>
      <c r="J251" s="256"/>
      <c r="K251" s="299" t="str">
        <f>IF($K$12="","",IFERROR(IF(Report!$D$4='!'!$HE$4,VLOOKUP(A251,Reference!$B$25:$H$390,5,FALSE),VLOOKUP(A251,Monitoring!$B$25:$H$390,5,FALSE)),""))</f>
        <v/>
      </c>
      <c r="L251" s="256"/>
      <c r="M251" s="299" t="str">
        <f>IF($M$12="","",IFERROR(IF(Report!$D$4='!'!$HE$4,VLOOKUP(A251,Reference!$B$25:$H$390,6,FALSE),VLOOKUP(A251,Monitoring!$B$25:$H$390,6,FALSE)),""))</f>
        <v/>
      </c>
      <c r="N251" s="256"/>
      <c r="O251" s="299" t="str">
        <f>IF($O$12="","",IFERROR(IF(Report!$D$4='!'!$HE$4,VLOOKUP(A251,Reference!$B$25:$H$390,7,FALSE),VLOOKUP(A251,Monitoring!$B$25:$H$390,7,FALSE)),""))</f>
        <v/>
      </c>
      <c r="P251" s="51"/>
      <c r="Q251" s="151" t="str">
        <f>IF(B251='!'!$GJ$15,'!'!$GJ$15,$Q$12)</f>
        <v>N</v>
      </c>
      <c r="S251" s="4" t="str">
        <f>IFERROR(ABS(T251),'!'!$GJ$15)</f>
        <v>N</v>
      </c>
      <c r="T251" s="84" t="str">
        <f>IFERROR(+G251-D251,'!'!$GJ$15)</f>
        <v>N</v>
      </c>
      <c r="U251" s="64" t="str">
        <f t="shared" si="7"/>
        <v>N</v>
      </c>
      <c r="W251" s="153" t="str">
        <f>IFERROR(I$10*I251,'!'!$GJ$15)</f>
        <v>N</v>
      </c>
      <c r="X251" s="153" t="str">
        <f>IFERROR(K$10*K251,'!'!$GJ$15)</f>
        <v>N</v>
      </c>
      <c r="Y251" s="153" t="str">
        <f>IFERROR(M$10*M251,'!'!$GJ$15)</f>
        <v>N</v>
      </c>
      <c r="Z251" s="153" t="str">
        <f>IFERROR(O$10*O252,'!'!$GJ$15)</f>
        <v>N</v>
      </c>
    </row>
    <row r="252" spans="1:26" x14ac:dyDescent="0.35">
      <c r="A252" s="4">
        <f t="shared" si="6"/>
        <v>228</v>
      </c>
      <c r="B252" s="286" t="str">
        <f>IFERROR(IF(Report!$D$4='!'!$HE$4,VLOOKUP(A252,Reference!$B$25:$H$390,2,FALSE),VLOOKUP(A252,Monitoring!$B$25:$H$390,2,FALSE)),'!'!$GJ$15)</f>
        <v>N</v>
      </c>
      <c r="C252" s="58" t="str">
        <f>Reference!A252</f>
        <v/>
      </c>
      <c r="D252" s="287" t="str">
        <f>IFERROR(IF(Report!$D$4='!'!$HE$4,VLOOKUP(A252,Reference!$B$25:$H$390,3,FALSE),VLOOKUP(A252,Monitoring!$B$25:$H$390,3,FALSE)),'!'!$GJ$15)</f>
        <v>N</v>
      </c>
      <c r="E252" s="285"/>
      <c r="F252" s="254"/>
      <c r="G252" s="151" t="str">
        <f>IF(D252='!'!$GJ$15,'!'!$GJ$15,(SUM(W252,X252,Y252,Z251,Q252)))</f>
        <v>N</v>
      </c>
      <c r="H252" s="51"/>
      <c r="I252" s="299" t="str">
        <f>IF($I$12="","",IFERROR(IF(Report!$D$4='!'!$HE$4,VLOOKUP(A252,Reference!$B$25:$H$390,4,FALSE),VLOOKUP(A252,Monitoring!$B$25:$H$390,4,FALSE)),""))</f>
        <v/>
      </c>
      <c r="J252" s="256"/>
      <c r="K252" s="299" t="str">
        <f>IF($K$12="","",IFERROR(IF(Report!$D$4='!'!$HE$4,VLOOKUP(A252,Reference!$B$25:$H$390,5,FALSE),VLOOKUP(A252,Monitoring!$B$25:$H$390,5,FALSE)),""))</f>
        <v/>
      </c>
      <c r="L252" s="256"/>
      <c r="M252" s="299" t="str">
        <f>IF($M$12="","",IFERROR(IF(Report!$D$4='!'!$HE$4,VLOOKUP(A252,Reference!$B$25:$H$390,6,FALSE),VLOOKUP(A252,Monitoring!$B$25:$H$390,6,FALSE)),""))</f>
        <v/>
      </c>
      <c r="N252" s="256"/>
      <c r="O252" s="299" t="str">
        <f>IF($O$12="","",IFERROR(IF(Report!$D$4='!'!$HE$4,VLOOKUP(A252,Reference!$B$25:$H$390,7,FALSE),VLOOKUP(A252,Monitoring!$B$25:$H$390,7,FALSE)),""))</f>
        <v/>
      </c>
      <c r="P252" s="51"/>
      <c r="Q252" s="151" t="str">
        <f>IF(B252='!'!$GJ$15,'!'!$GJ$15,$Q$12)</f>
        <v>N</v>
      </c>
      <c r="S252" s="4" t="str">
        <f>IFERROR(ABS(T252),'!'!$GJ$15)</f>
        <v>N</v>
      </c>
      <c r="T252" s="84" t="str">
        <f>IFERROR(+G252-D252,'!'!$GJ$15)</f>
        <v>N</v>
      </c>
      <c r="U252" s="64" t="str">
        <f t="shared" si="7"/>
        <v>N</v>
      </c>
      <c r="W252" s="153" t="str">
        <f>IFERROR(I$10*I252,'!'!$GJ$15)</f>
        <v>N</v>
      </c>
      <c r="X252" s="153" t="str">
        <f>IFERROR(K$10*K252,'!'!$GJ$15)</f>
        <v>N</v>
      </c>
      <c r="Y252" s="153" t="str">
        <f>IFERROR(M$10*M252,'!'!$GJ$15)</f>
        <v>N</v>
      </c>
      <c r="Z252" s="153" t="str">
        <f>IFERROR(O$10*O253,'!'!$GJ$15)</f>
        <v>N</v>
      </c>
    </row>
    <row r="253" spans="1:26" x14ac:dyDescent="0.35">
      <c r="A253" s="4">
        <f t="shared" si="6"/>
        <v>229</v>
      </c>
      <c r="B253" s="286" t="str">
        <f>IFERROR(IF(Report!$D$4='!'!$HE$4,VLOOKUP(A253,Reference!$B$25:$H$390,2,FALSE),VLOOKUP(A253,Monitoring!$B$25:$H$390,2,FALSE)),'!'!$GJ$15)</f>
        <v>N</v>
      </c>
      <c r="C253" s="58" t="str">
        <f>Reference!A253</f>
        <v/>
      </c>
      <c r="D253" s="287" t="str">
        <f>IFERROR(IF(Report!$D$4='!'!$HE$4,VLOOKUP(A253,Reference!$B$25:$H$390,3,FALSE),VLOOKUP(A253,Monitoring!$B$25:$H$390,3,FALSE)),'!'!$GJ$15)</f>
        <v>N</v>
      </c>
      <c r="E253" s="285"/>
      <c r="F253" s="254"/>
      <c r="G253" s="151" t="str">
        <f>IF(D253='!'!$GJ$15,'!'!$GJ$15,(SUM(W253,X253,Y253,Z252,Q253)))</f>
        <v>N</v>
      </c>
      <c r="H253" s="51"/>
      <c r="I253" s="299" t="str">
        <f>IF($I$12="","",IFERROR(IF(Report!$D$4='!'!$HE$4,VLOOKUP(A253,Reference!$B$25:$H$390,4,FALSE),VLOOKUP(A253,Monitoring!$B$25:$H$390,4,FALSE)),""))</f>
        <v/>
      </c>
      <c r="J253" s="256"/>
      <c r="K253" s="299" t="str">
        <f>IF($K$12="","",IFERROR(IF(Report!$D$4='!'!$HE$4,VLOOKUP(A253,Reference!$B$25:$H$390,5,FALSE),VLOOKUP(A253,Monitoring!$B$25:$H$390,5,FALSE)),""))</f>
        <v/>
      </c>
      <c r="L253" s="256"/>
      <c r="M253" s="299" t="str">
        <f>IF($M$12="","",IFERROR(IF(Report!$D$4='!'!$HE$4,VLOOKUP(A253,Reference!$B$25:$H$390,6,FALSE),VLOOKUP(A253,Monitoring!$B$25:$H$390,6,FALSE)),""))</f>
        <v/>
      </c>
      <c r="N253" s="256"/>
      <c r="O253" s="299" t="str">
        <f>IF($O$12="","",IFERROR(IF(Report!$D$4='!'!$HE$4,VLOOKUP(A253,Reference!$B$25:$H$390,7,FALSE),VLOOKUP(A253,Monitoring!$B$25:$H$390,7,FALSE)),""))</f>
        <v/>
      </c>
      <c r="P253" s="51"/>
      <c r="Q253" s="151" t="str">
        <f>IF(B253='!'!$GJ$15,'!'!$GJ$15,$Q$12)</f>
        <v>N</v>
      </c>
      <c r="S253" s="4" t="str">
        <f>IFERROR(ABS(T253),'!'!$GJ$15)</f>
        <v>N</v>
      </c>
      <c r="T253" s="84" t="str">
        <f>IFERROR(+G253-D253,'!'!$GJ$15)</f>
        <v>N</v>
      </c>
      <c r="U253" s="64" t="str">
        <f t="shared" si="7"/>
        <v>N</v>
      </c>
      <c r="W253" s="153" t="str">
        <f>IFERROR(I$10*I253,'!'!$GJ$15)</f>
        <v>N</v>
      </c>
      <c r="X253" s="153" t="str">
        <f>IFERROR(K$10*K253,'!'!$GJ$15)</f>
        <v>N</v>
      </c>
      <c r="Y253" s="153" t="str">
        <f>IFERROR(M$10*M253,'!'!$GJ$15)</f>
        <v>N</v>
      </c>
      <c r="Z253" s="153" t="str">
        <f>IFERROR(O$10*O254,'!'!$GJ$15)</f>
        <v>N</v>
      </c>
    </row>
    <row r="254" spans="1:26" x14ac:dyDescent="0.35">
      <c r="A254" s="4">
        <f t="shared" si="6"/>
        <v>230</v>
      </c>
      <c r="B254" s="286" t="str">
        <f>IFERROR(IF(Report!$D$4='!'!$HE$4,VLOOKUP(A254,Reference!$B$25:$H$390,2,FALSE),VLOOKUP(A254,Monitoring!$B$25:$H$390,2,FALSE)),'!'!$GJ$15)</f>
        <v>N</v>
      </c>
      <c r="C254" s="58" t="str">
        <f>Reference!A254</f>
        <v/>
      </c>
      <c r="D254" s="287" t="str">
        <f>IFERROR(IF(Report!$D$4='!'!$HE$4,VLOOKUP(A254,Reference!$B$25:$H$390,3,FALSE),VLOOKUP(A254,Monitoring!$B$25:$H$390,3,FALSE)),'!'!$GJ$15)</f>
        <v>N</v>
      </c>
      <c r="E254" s="285"/>
      <c r="F254" s="254"/>
      <c r="G254" s="151" t="str">
        <f>IF(D254='!'!$GJ$15,'!'!$GJ$15,(SUM(W254,X254,Y254,Z253,Q254)))</f>
        <v>N</v>
      </c>
      <c r="H254" s="51"/>
      <c r="I254" s="299" t="str">
        <f>IF($I$12="","",IFERROR(IF(Report!$D$4='!'!$HE$4,VLOOKUP(A254,Reference!$B$25:$H$390,4,FALSE),VLOOKUP(A254,Monitoring!$B$25:$H$390,4,FALSE)),""))</f>
        <v/>
      </c>
      <c r="J254" s="256"/>
      <c r="K254" s="299" t="str">
        <f>IF($K$12="","",IFERROR(IF(Report!$D$4='!'!$HE$4,VLOOKUP(A254,Reference!$B$25:$H$390,5,FALSE),VLOOKUP(A254,Monitoring!$B$25:$H$390,5,FALSE)),""))</f>
        <v/>
      </c>
      <c r="L254" s="256"/>
      <c r="M254" s="299" t="str">
        <f>IF($M$12="","",IFERROR(IF(Report!$D$4='!'!$HE$4,VLOOKUP(A254,Reference!$B$25:$H$390,6,FALSE),VLOOKUP(A254,Monitoring!$B$25:$H$390,6,FALSE)),""))</f>
        <v/>
      </c>
      <c r="N254" s="256"/>
      <c r="O254" s="299" t="str">
        <f>IF($O$12="","",IFERROR(IF(Report!$D$4='!'!$HE$4,VLOOKUP(A254,Reference!$B$25:$H$390,7,FALSE),VLOOKUP(A254,Monitoring!$B$25:$H$390,7,FALSE)),""))</f>
        <v/>
      </c>
      <c r="P254" s="51"/>
      <c r="Q254" s="151" t="str">
        <f>IF(B254='!'!$GJ$15,'!'!$GJ$15,$Q$12)</f>
        <v>N</v>
      </c>
      <c r="S254" s="4" t="str">
        <f>IFERROR(ABS(T254),'!'!$GJ$15)</f>
        <v>N</v>
      </c>
      <c r="T254" s="84" t="str">
        <f>IFERROR(+G254-D254,'!'!$GJ$15)</f>
        <v>N</v>
      </c>
      <c r="U254" s="64" t="str">
        <f t="shared" si="7"/>
        <v>N</v>
      </c>
      <c r="W254" s="153" t="str">
        <f>IFERROR(I$10*I254,'!'!$GJ$15)</f>
        <v>N</v>
      </c>
      <c r="X254" s="153" t="str">
        <f>IFERROR(K$10*K254,'!'!$GJ$15)</f>
        <v>N</v>
      </c>
      <c r="Y254" s="153" t="str">
        <f>IFERROR(M$10*M254,'!'!$GJ$15)</f>
        <v>N</v>
      </c>
      <c r="Z254" s="153" t="str">
        <f>IFERROR(O$10*O255,'!'!$GJ$15)</f>
        <v>N</v>
      </c>
    </row>
    <row r="255" spans="1:26" x14ac:dyDescent="0.35">
      <c r="A255" s="4">
        <f t="shared" si="6"/>
        <v>231</v>
      </c>
      <c r="B255" s="286" t="str">
        <f>IFERROR(IF(Report!$D$4='!'!$HE$4,VLOOKUP(A255,Reference!$B$25:$H$390,2,FALSE),VLOOKUP(A255,Monitoring!$B$25:$H$390,2,FALSE)),'!'!$GJ$15)</f>
        <v>N</v>
      </c>
      <c r="C255" s="58" t="str">
        <f>Reference!A255</f>
        <v/>
      </c>
      <c r="D255" s="287" t="str">
        <f>IFERROR(IF(Report!$D$4='!'!$HE$4,VLOOKUP(A255,Reference!$B$25:$H$390,3,FALSE),VLOOKUP(A255,Monitoring!$B$25:$H$390,3,FALSE)),'!'!$GJ$15)</f>
        <v>N</v>
      </c>
      <c r="E255" s="285"/>
      <c r="F255" s="254"/>
      <c r="G255" s="151" t="str">
        <f>IF(D255='!'!$GJ$15,'!'!$GJ$15,(SUM(W255,X255,Y255,Z254,Q255)))</f>
        <v>N</v>
      </c>
      <c r="H255" s="51"/>
      <c r="I255" s="299" t="str">
        <f>IF($I$12="","",IFERROR(IF(Report!$D$4='!'!$HE$4,VLOOKUP(A255,Reference!$B$25:$H$390,4,FALSE),VLOOKUP(A255,Monitoring!$B$25:$H$390,4,FALSE)),""))</f>
        <v/>
      </c>
      <c r="J255" s="256"/>
      <c r="K255" s="299" t="str">
        <f>IF($K$12="","",IFERROR(IF(Report!$D$4='!'!$HE$4,VLOOKUP(A255,Reference!$B$25:$H$390,5,FALSE),VLOOKUP(A255,Monitoring!$B$25:$H$390,5,FALSE)),""))</f>
        <v/>
      </c>
      <c r="L255" s="256"/>
      <c r="M255" s="299" t="str">
        <f>IF($M$12="","",IFERROR(IF(Report!$D$4='!'!$HE$4,VLOOKUP(A255,Reference!$B$25:$H$390,6,FALSE),VLOOKUP(A255,Monitoring!$B$25:$H$390,6,FALSE)),""))</f>
        <v/>
      </c>
      <c r="N255" s="256"/>
      <c r="O255" s="299" t="str">
        <f>IF($O$12="","",IFERROR(IF(Report!$D$4='!'!$HE$4,VLOOKUP(A255,Reference!$B$25:$H$390,7,FALSE),VLOOKUP(A255,Monitoring!$B$25:$H$390,7,FALSE)),""))</f>
        <v/>
      </c>
      <c r="P255" s="51"/>
      <c r="Q255" s="151" t="str">
        <f>IF(B255='!'!$GJ$15,'!'!$GJ$15,$Q$12)</f>
        <v>N</v>
      </c>
      <c r="S255" s="4" t="str">
        <f>IFERROR(ABS(T255),'!'!$GJ$15)</f>
        <v>N</v>
      </c>
      <c r="T255" s="84" t="str">
        <f>IFERROR(+G255-D255,'!'!$GJ$15)</f>
        <v>N</v>
      </c>
      <c r="U255" s="64" t="str">
        <f t="shared" si="7"/>
        <v>N</v>
      </c>
      <c r="W255" s="153" t="str">
        <f>IFERROR(I$10*I255,'!'!$GJ$15)</f>
        <v>N</v>
      </c>
      <c r="X255" s="153" t="str">
        <f>IFERROR(K$10*K255,'!'!$GJ$15)</f>
        <v>N</v>
      </c>
      <c r="Y255" s="153" t="str">
        <f>IFERROR(M$10*M255,'!'!$GJ$15)</f>
        <v>N</v>
      </c>
      <c r="Z255" s="153" t="str">
        <f>IFERROR(O$10*O256,'!'!$GJ$15)</f>
        <v>N</v>
      </c>
    </row>
    <row r="256" spans="1:26" x14ac:dyDescent="0.35">
      <c r="A256" s="4">
        <f t="shared" si="6"/>
        <v>232</v>
      </c>
      <c r="B256" s="286" t="str">
        <f>IFERROR(IF(Report!$D$4='!'!$HE$4,VLOOKUP(A256,Reference!$B$25:$H$390,2,FALSE),VLOOKUP(A256,Monitoring!$B$25:$H$390,2,FALSE)),'!'!$GJ$15)</f>
        <v>N</v>
      </c>
      <c r="C256" s="58" t="str">
        <f>Reference!A256</f>
        <v/>
      </c>
      <c r="D256" s="287" t="str">
        <f>IFERROR(IF(Report!$D$4='!'!$HE$4,VLOOKUP(A256,Reference!$B$25:$H$390,3,FALSE),VLOOKUP(A256,Monitoring!$B$25:$H$390,3,FALSE)),'!'!$GJ$15)</f>
        <v>N</v>
      </c>
      <c r="E256" s="285"/>
      <c r="F256" s="254"/>
      <c r="G256" s="151" t="str">
        <f>IF(D256='!'!$GJ$15,'!'!$GJ$15,(SUM(W256,X256,Y256,Z255,Q256)))</f>
        <v>N</v>
      </c>
      <c r="H256" s="51"/>
      <c r="I256" s="299" t="str">
        <f>IF($I$12="","",IFERROR(IF(Report!$D$4='!'!$HE$4,VLOOKUP(A256,Reference!$B$25:$H$390,4,FALSE),VLOOKUP(A256,Monitoring!$B$25:$H$390,4,FALSE)),""))</f>
        <v/>
      </c>
      <c r="J256" s="256"/>
      <c r="K256" s="299" t="str">
        <f>IF($K$12="","",IFERROR(IF(Report!$D$4='!'!$HE$4,VLOOKUP(A256,Reference!$B$25:$H$390,5,FALSE),VLOOKUP(A256,Monitoring!$B$25:$H$390,5,FALSE)),""))</f>
        <v/>
      </c>
      <c r="L256" s="256"/>
      <c r="M256" s="299" t="str">
        <f>IF($M$12="","",IFERROR(IF(Report!$D$4='!'!$HE$4,VLOOKUP(A256,Reference!$B$25:$H$390,6,FALSE),VLOOKUP(A256,Monitoring!$B$25:$H$390,6,FALSE)),""))</f>
        <v/>
      </c>
      <c r="N256" s="256"/>
      <c r="O256" s="299" t="str">
        <f>IF($O$12="","",IFERROR(IF(Report!$D$4='!'!$HE$4,VLOOKUP(A256,Reference!$B$25:$H$390,7,FALSE),VLOOKUP(A256,Monitoring!$B$25:$H$390,7,FALSE)),""))</f>
        <v/>
      </c>
      <c r="P256" s="51"/>
      <c r="Q256" s="151" t="str">
        <f>IF(B256='!'!$GJ$15,'!'!$GJ$15,$Q$12)</f>
        <v>N</v>
      </c>
      <c r="S256" s="4" t="str">
        <f>IFERROR(ABS(T256),'!'!$GJ$15)</f>
        <v>N</v>
      </c>
      <c r="T256" s="84" t="str">
        <f>IFERROR(+G256-D256,'!'!$GJ$15)</f>
        <v>N</v>
      </c>
      <c r="U256" s="64" t="str">
        <f t="shared" si="7"/>
        <v>N</v>
      </c>
      <c r="W256" s="153" t="str">
        <f>IFERROR(I$10*I256,'!'!$GJ$15)</f>
        <v>N</v>
      </c>
      <c r="X256" s="153" t="str">
        <f>IFERROR(K$10*K256,'!'!$GJ$15)</f>
        <v>N</v>
      </c>
      <c r="Y256" s="153" t="str">
        <f>IFERROR(M$10*M256,'!'!$GJ$15)</f>
        <v>N</v>
      </c>
      <c r="Z256" s="153" t="str">
        <f>IFERROR(O$10*O257,'!'!$GJ$15)</f>
        <v>N</v>
      </c>
    </row>
    <row r="257" spans="1:26" x14ac:dyDescent="0.35">
      <c r="A257" s="4">
        <f t="shared" si="6"/>
        <v>233</v>
      </c>
      <c r="B257" s="286" t="str">
        <f>IFERROR(IF(Report!$D$4='!'!$HE$4,VLOOKUP(A257,Reference!$B$25:$H$390,2,FALSE),VLOOKUP(A257,Monitoring!$B$25:$H$390,2,FALSE)),'!'!$GJ$15)</f>
        <v>N</v>
      </c>
      <c r="C257" s="58" t="str">
        <f>Reference!A257</f>
        <v/>
      </c>
      <c r="D257" s="287" t="str">
        <f>IFERROR(IF(Report!$D$4='!'!$HE$4,VLOOKUP(A257,Reference!$B$25:$H$390,3,FALSE),VLOOKUP(A257,Monitoring!$B$25:$H$390,3,FALSE)),'!'!$GJ$15)</f>
        <v>N</v>
      </c>
      <c r="E257" s="285"/>
      <c r="F257" s="254"/>
      <c r="G257" s="151" t="str">
        <f>IF(D257='!'!$GJ$15,'!'!$GJ$15,(SUM(W257,X257,Y257,Z256,Q257)))</f>
        <v>N</v>
      </c>
      <c r="H257" s="51"/>
      <c r="I257" s="299" t="str">
        <f>IF($I$12="","",IFERROR(IF(Report!$D$4='!'!$HE$4,VLOOKUP(A257,Reference!$B$25:$H$390,4,FALSE),VLOOKUP(A257,Monitoring!$B$25:$H$390,4,FALSE)),""))</f>
        <v/>
      </c>
      <c r="J257" s="256"/>
      <c r="K257" s="299" t="str">
        <f>IF($K$12="","",IFERROR(IF(Report!$D$4='!'!$HE$4,VLOOKUP(A257,Reference!$B$25:$H$390,5,FALSE),VLOOKUP(A257,Monitoring!$B$25:$H$390,5,FALSE)),""))</f>
        <v/>
      </c>
      <c r="L257" s="256"/>
      <c r="M257" s="299" t="str">
        <f>IF($M$12="","",IFERROR(IF(Report!$D$4='!'!$HE$4,VLOOKUP(A257,Reference!$B$25:$H$390,6,FALSE),VLOOKUP(A257,Monitoring!$B$25:$H$390,6,FALSE)),""))</f>
        <v/>
      </c>
      <c r="N257" s="256"/>
      <c r="O257" s="299" t="str">
        <f>IF($O$12="","",IFERROR(IF(Report!$D$4='!'!$HE$4,VLOOKUP(A257,Reference!$B$25:$H$390,7,FALSE),VLOOKUP(A257,Monitoring!$B$25:$H$390,7,FALSE)),""))</f>
        <v/>
      </c>
      <c r="P257" s="51"/>
      <c r="Q257" s="151" t="str">
        <f>IF(B257='!'!$GJ$15,'!'!$GJ$15,$Q$12)</f>
        <v>N</v>
      </c>
      <c r="S257" s="4" t="str">
        <f>IFERROR(ABS(T257),'!'!$GJ$15)</f>
        <v>N</v>
      </c>
      <c r="T257" s="84" t="str">
        <f>IFERROR(+G257-D257,'!'!$GJ$15)</f>
        <v>N</v>
      </c>
      <c r="U257" s="64" t="str">
        <f t="shared" si="7"/>
        <v>N</v>
      </c>
      <c r="W257" s="153" t="str">
        <f>IFERROR(I$10*I257,'!'!$GJ$15)</f>
        <v>N</v>
      </c>
      <c r="X257" s="153" t="str">
        <f>IFERROR(K$10*K257,'!'!$GJ$15)</f>
        <v>N</v>
      </c>
      <c r="Y257" s="153" t="str">
        <f>IFERROR(M$10*M257,'!'!$GJ$15)</f>
        <v>N</v>
      </c>
      <c r="Z257" s="153" t="str">
        <f>IFERROR(O$10*O258,'!'!$GJ$15)</f>
        <v>N</v>
      </c>
    </row>
    <row r="258" spans="1:26" x14ac:dyDescent="0.35">
      <c r="A258" s="4">
        <f t="shared" si="6"/>
        <v>234</v>
      </c>
      <c r="B258" s="286" t="str">
        <f>IFERROR(IF(Report!$D$4='!'!$HE$4,VLOOKUP(A258,Reference!$B$25:$H$390,2,FALSE),VLOOKUP(A258,Monitoring!$B$25:$H$390,2,FALSE)),'!'!$GJ$15)</f>
        <v>N</v>
      </c>
      <c r="C258" s="58" t="str">
        <f>Reference!A258</f>
        <v/>
      </c>
      <c r="D258" s="287" t="str">
        <f>IFERROR(IF(Report!$D$4='!'!$HE$4,VLOOKUP(A258,Reference!$B$25:$H$390,3,FALSE),VLOOKUP(A258,Monitoring!$B$25:$H$390,3,FALSE)),'!'!$GJ$15)</f>
        <v>N</v>
      </c>
      <c r="E258" s="285"/>
      <c r="F258" s="254"/>
      <c r="G258" s="151" t="str">
        <f>IF(D258='!'!$GJ$15,'!'!$GJ$15,(SUM(W258,X258,Y258,Z257,Q258)))</f>
        <v>N</v>
      </c>
      <c r="H258" s="51"/>
      <c r="I258" s="299" t="str">
        <f>IF($I$12="","",IFERROR(IF(Report!$D$4='!'!$HE$4,VLOOKUP(A258,Reference!$B$25:$H$390,4,FALSE),VLOOKUP(A258,Monitoring!$B$25:$H$390,4,FALSE)),""))</f>
        <v/>
      </c>
      <c r="J258" s="256"/>
      <c r="K258" s="299" t="str">
        <f>IF($K$12="","",IFERROR(IF(Report!$D$4='!'!$HE$4,VLOOKUP(A258,Reference!$B$25:$H$390,5,FALSE),VLOOKUP(A258,Monitoring!$B$25:$H$390,5,FALSE)),""))</f>
        <v/>
      </c>
      <c r="L258" s="256"/>
      <c r="M258" s="299" t="str">
        <f>IF($M$12="","",IFERROR(IF(Report!$D$4='!'!$HE$4,VLOOKUP(A258,Reference!$B$25:$H$390,6,FALSE),VLOOKUP(A258,Monitoring!$B$25:$H$390,6,FALSE)),""))</f>
        <v/>
      </c>
      <c r="N258" s="256"/>
      <c r="O258" s="299" t="str">
        <f>IF($O$12="","",IFERROR(IF(Report!$D$4='!'!$HE$4,VLOOKUP(A258,Reference!$B$25:$H$390,7,FALSE),VLOOKUP(A258,Monitoring!$B$25:$H$390,7,FALSE)),""))</f>
        <v/>
      </c>
      <c r="P258" s="51"/>
      <c r="Q258" s="151" t="str">
        <f>IF(B258='!'!$GJ$15,'!'!$GJ$15,$Q$12)</f>
        <v>N</v>
      </c>
      <c r="S258" s="4" t="str">
        <f>IFERROR(ABS(T258),'!'!$GJ$15)</f>
        <v>N</v>
      </c>
      <c r="T258" s="84" t="str">
        <f>IFERROR(+G258-D258,'!'!$GJ$15)</f>
        <v>N</v>
      </c>
      <c r="U258" s="64" t="str">
        <f t="shared" si="7"/>
        <v>N</v>
      </c>
      <c r="W258" s="153" t="str">
        <f>IFERROR(I$10*I258,'!'!$GJ$15)</f>
        <v>N</v>
      </c>
      <c r="X258" s="153" t="str">
        <f>IFERROR(K$10*K258,'!'!$GJ$15)</f>
        <v>N</v>
      </c>
      <c r="Y258" s="153" t="str">
        <f>IFERROR(M$10*M258,'!'!$GJ$15)</f>
        <v>N</v>
      </c>
      <c r="Z258" s="153" t="str">
        <f>IFERROR(O$10*O259,'!'!$GJ$15)</f>
        <v>N</v>
      </c>
    </row>
    <row r="259" spans="1:26" x14ac:dyDescent="0.35">
      <c r="A259" s="4">
        <f t="shared" si="6"/>
        <v>235</v>
      </c>
      <c r="B259" s="286" t="str">
        <f>IFERROR(IF(Report!$D$4='!'!$HE$4,VLOOKUP(A259,Reference!$B$25:$H$390,2,FALSE),VLOOKUP(A259,Monitoring!$B$25:$H$390,2,FALSE)),'!'!$GJ$15)</f>
        <v>N</v>
      </c>
      <c r="C259" s="58" t="str">
        <f>Reference!A259</f>
        <v/>
      </c>
      <c r="D259" s="287" t="str">
        <f>IFERROR(IF(Report!$D$4='!'!$HE$4,VLOOKUP(A259,Reference!$B$25:$H$390,3,FALSE),VLOOKUP(A259,Monitoring!$B$25:$H$390,3,FALSE)),'!'!$GJ$15)</f>
        <v>N</v>
      </c>
      <c r="E259" s="285"/>
      <c r="F259" s="254"/>
      <c r="G259" s="151" t="str">
        <f>IF(D259='!'!$GJ$15,'!'!$GJ$15,(SUM(W259,X259,Y259,Z258,Q259)))</f>
        <v>N</v>
      </c>
      <c r="H259" s="51"/>
      <c r="I259" s="299" t="str">
        <f>IF($I$12="","",IFERROR(IF(Report!$D$4='!'!$HE$4,VLOOKUP(A259,Reference!$B$25:$H$390,4,FALSE),VLOOKUP(A259,Monitoring!$B$25:$H$390,4,FALSE)),""))</f>
        <v/>
      </c>
      <c r="J259" s="256"/>
      <c r="K259" s="299" t="str">
        <f>IF($K$12="","",IFERROR(IF(Report!$D$4='!'!$HE$4,VLOOKUP(A259,Reference!$B$25:$H$390,5,FALSE),VLOOKUP(A259,Monitoring!$B$25:$H$390,5,FALSE)),""))</f>
        <v/>
      </c>
      <c r="L259" s="256"/>
      <c r="M259" s="299" t="str">
        <f>IF($M$12="","",IFERROR(IF(Report!$D$4='!'!$HE$4,VLOOKUP(A259,Reference!$B$25:$H$390,6,FALSE),VLOOKUP(A259,Monitoring!$B$25:$H$390,6,FALSE)),""))</f>
        <v/>
      </c>
      <c r="N259" s="256"/>
      <c r="O259" s="299" t="str">
        <f>IF($O$12="","",IFERROR(IF(Report!$D$4='!'!$HE$4,VLOOKUP(A259,Reference!$B$25:$H$390,7,FALSE),VLOOKUP(A259,Monitoring!$B$25:$H$390,7,FALSE)),""))</f>
        <v/>
      </c>
      <c r="P259" s="51"/>
      <c r="Q259" s="151" t="str">
        <f>IF(B259='!'!$GJ$15,'!'!$GJ$15,$Q$12)</f>
        <v>N</v>
      </c>
      <c r="S259" s="4" t="str">
        <f>IFERROR(ABS(T259),'!'!$GJ$15)</f>
        <v>N</v>
      </c>
      <c r="T259" s="84" t="str">
        <f>IFERROR(+G259-D259,'!'!$GJ$15)</f>
        <v>N</v>
      </c>
      <c r="U259" s="64" t="str">
        <f t="shared" si="7"/>
        <v>N</v>
      </c>
      <c r="W259" s="153" t="str">
        <f>IFERROR(I$10*I259,'!'!$GJ$15)</f>
        <v>N</v>
      </c>
      <c r="X259" s="153" t="str">
        <f>IFERROR(K$10*K259,'!'!$GJ$15)</f>
        <v>N</v>
      </c>
      <c r="Y259" s="153" t="str">
        <f>IFERROR(M$10*M259,'!'!$GJ$15)</f>
        <v>N</v>
      </c>
      <c r="Z259" s="153" t="str">
        <f>IFERROR(O$10*O260,'!'!$GJ$15)</f>
        <v>N</v>
      </c>
    </row>
    <row r="260" spans="1:26" x14ac:dyDescent="0.35">
      <c r="A260" s="4">
        <f t="shared" si="6"/>
        <v>236</v>
      </c>
      <c r="B260" s="286" t="str">
        <f>IFERROR(IF(Report!$D$4='!'!$HE$4,VLOOKUP(A260,Reference!$B$25:$H$390,2,FALSE),VLOOKUP(A260,Monitoring!$B$25:$H$390,2,FALSE)),'!'!$GJ$15)</f>
        <v>N</v>
      </c>
      <c r="C260" s="58" t="str">
        <f>Reference!A260</f>
        <v/>
      </c>
      <c r="D260" s="287" t="str">
        <f>IFERROR(IF(Report!$D$4='!'!$HE$4,VLOOKUP(A260,Reference!$B$25:$H$390,3,FALSE),VLOOKUP(A260,Monitoring!$B$25:$H$390,3,FALSE)),'!'!$GJ$15)</f>
        <v>N</v>
      </c>
      <c r="E260" s="285"/>
      <c r="F260" s="254"/>
      <c r="G260" s="151" t="str">
        <f>IF(D260='!'!$GJ$15,'!'!$GJ$15,(SUM(W260,X260,Y260,Z259,Q260)))</f>
        <v>N</v>
      </c>
      <c r="H260" s="51"/>
      <c r="I260" s="299" t="str">
        <f>IF($I$12="","",IFERROR(IF(Report!$D$4='!'!$HE$4,VLOOKUP(A260,Reference!$B$25:$H$390,4,FALSE),VLOOKUP(A260,Monitoring!$B$25:$H$390,4,FALSE)),""))</f>
        <v/>
      </c>
      <c r="J260" s="256"/>
      <c r="K260" s="299" t="str">
        <f>IF($K$12="","",IFERROR(IF(Report!$D$4='!'!$HE$4,VLOOKUP(A260,Reference!$B$25:$H$390,5,FALSE),VLOOKUP(A260,Monitoring!$B$25:$H$390,5,FALSE)),""))</f>
        <v/>
      </c>
      <c r="L260" s="256"/>
      <c r="M260" s="299" t="str">
        <f>IF($M$12="","",IFERROR(IF(Report!$D$4='!'!$HE$4,VLOOKUP(A260,Reference!$B$25:$H$390,6,FALSE),VLOOKUP(A260,Monitoring!$B$25:$H$390,6,FALSE)),""))</f>
        <v/>
      </c>
      <c r="N260" s="256"/>
      <c r="O260" s="299" t="str">
        <f>IF($O$12="","",IFERROR(IF(Report!$D$4='!'!$HE$4,VLOOKUP(A260,Reference!$B$25:$H$390,7,FALSE),VLOOKUP(A260,Monitoring!$B$25:$H$390,7,FALSE)),""))</f>
        <v/>
      </c>
      <c r="P260" s="51"/>
      <c r="Q260" s="151" t="str">
        <f>IF(B260='!'!$GJ$15,'!'!$GJ$15,$Q$12)</f>
        <v>N</v>
      </c>
      <c r="S260" s="4" t="str">
        <f>IFERROR(ABS(T260),'!'!$GJ$15)</f>
        <v>N</v>
      </c>
      <c r="T260" s="84" t="str">
        <f>IFERROR(+G260-D260,'!'!$GJ$15)</f>
        <v>N</v>
      </c>
      <c r="U260" s="64" t="str">
        <f t="shared" si="7"/>
        <v>N</v>
      </c>
      <c r="W260" s="153" t="str">
        <f>IFERROR(I$10*I260,'!'!$GJ$15)</f>
        <v>N</v>
      </c>
      <c r="X260" s="153" t="str">
        <f>IFERROR(K$10*K260,'!'!$GJ$15)</f>
        <v>N</v>
      </c>
      <c r="Y260" s="153" t="str">
        <f>IFERROR(M$10*M260,'!'!$GJ$15)</f>
        <v>N</v>
      </c>
      <c r="Z260" s="153" t="str">
        <f>IFERROR(O$10*O261,'!'!$GJ$15)</f>
        <v>N</v>
      </c>
    </row>
    <row r="261" spans="1:26" x14ac:dyDescent="0.35">
      <c r="A261" s="4">
        <f t="shared" si="6"/>
        <v>237</v>
      </c>
      <c r="B261" s="286" t="str">
        <f>IFERROR(IF(Report!$D$4='!'!$HE$4,VLOOKUP(A261,Reference!$B$25:$H$390,2,FALSE),VLOOKUP(A261,Monitoring!$B$25:$H$390,2,FALSE)),'!'!$GJ$15)</f>
        <v>N</v>
      </c>
      <c r="C261" s="58" t="str">
        <f>Reference!A261</f>
        <v/>
      </c>
      <c r="D261" s="287" t="str">
        <f>IFERROR(IF(Report!$D$4='!'!$HE$4,VLOOKUP(A261,Reference!$B$25:$H$390,3,FALSE),VLOOKUP(A261,Monitoring!$B$25:$H$390,3,FALSE)),'!'!$GJ$15)</f>
        <v>N</v>
      </c>
      <c r="E261" s="285"/>
      <c r="F261" s="254"/>
      <c r="G261" s="151" t="str">
        <f>IF(D261='!'!$GJ$15,'!'!$GJ$15,(SUM(W261,X261,Y261,Z260,Q261)))</f>
        <v>N</v>
      </c>
      <c r="H261" s="51"/>
      <c r="I261" s="299" t="str">
        <f>IF($I$12="","",IFERROR(IF(Report!$D$4='!'!$HE$4,VLOOKUP(A261,Reference!$B$25:$H$390,4,FALSE),VLOOKUP(A261,Monitoring!$B$25:$H$390,4,FALSE)),""))</f>
        <v/>
      </c>
      <c r="J261" s="256"/>
      <c r="K261" s="299" t="str">
        <f>IF($K$12="","",IFERROR(IF(Report!$D$4='!'!$HE$4,VLOOKUP(A261,Reference!$B$25:$H$390,5,FALSE),VLOOKUP(A261,Monitoring!$B$25:$H$390,5,FALSE)),""))</f>
        <v/>
      </c>
      <c r="L261" s="256"/>
      <c r="M261" s="299" t="str">
        <f>IF($M$12="","",IFERROR(IF(Report!$D$4='!'!$HE$4,VLOOKUP(A261,Reference!$B$25:$H$390,6,FALSE),VLOOKUP(A261,Monitoring!$B$25:$H$390,6,FALSE)),""))</f>
        <v/>
      </c>
      <c r="N261" s="256"/>
      <c r="O261" s="299" t="str">
        <f>IF($O$12="","",IFERROR(IF(Report!$D$4='!'!$HE$4,VLOOKUP(A261,Reference!$B$25:$H$390,7,FALSE),VLOOKUP(A261,Monitoring!$B$25:$H$390,7,FALSE)),""))</f>
        <v/>
      </c>
      <c r="P261" s="51"/>
      <c r="Q261" s="151" t="str">
        <f>IF(B261='!'!$GJ$15,'!'!$GJ$15,$Q$12)</f>
        <v>N</v>
      </c>
      <c r="S261" s="4" t="str">
        <f>IFERROR(ABS(T261),'!'!$GJ$15)</f>
        <v>N</v>
      </c>
      <c r="T261" s="84" t="str">
        <f>IFERROR(+G261-D261,'!'!$GJ$15)</f>
        <v>N</v>
      </c>
      <c r="U261" s="64" t="str">
        <f t="shared" si="7"/>
        <v>N</v>
      </c>
      <c r="W261" s="153" t="str">
        <f>IFERROR(I$10*I261,'!'!$GJ$15)</f>
        <v>N</v>
      </c>
      <c r="X261" s="153" t="str">
        <f>IFERROR(K$10*K261,'!'!$GJ$15)</f>
        <v>N</v>
      </c>
      <c r="Y261" s="153" t="str">
        <f>IFERROR(M$10*M261,'!'!$GJ$15)</f>
        <v>N</v>
      </c>
      <c r="Z261" s="153" t="str">
        <f>IFERROR(O$10*O262,'!'!$GJ$15)</f>
        <v>N</v>
      </c>
    </row>
    <row r="262" spans="1:26" x14ac:dyDescent="0.35">
      <c r="A262" s="4">
        <f t="shared" si="6"/>
        <v>238</v>
      </c>
      <c r="B262" s="286" t="str">
        <f>IFERROR(IF(Report!$D$4='!'!$HE$4,VLOOKUP(A262,Reference!$B$25:$H$390,2,FALSE),VLOOKUP(A262,Monitoring!$B$25:$H$390,2,FALSE)),'!'!$GJ$15)</f>
        <v>N</v>
      </c>
      <c r="C262" s="58" t="str">
        <f>Reference!A262</f>
        <v/>
      </c>
      <c r="D262" s="287" t="str">
        <f>IFERROR(IF(Report!$D$4='!'!$HE$4,VLOOKUP(A262,Reference!$B$25:$H$390,3,FALSE),VLOOKUP(A262,Monitoring!$B$25:$H$390,3,FALSE)),'!'!$GJ$15)</f>
        <v>N</v>
      </c>
      <c r="E262" s="285"/>
      <c r="F262" s="254"/>
      <c r="G262" s="151" t="str">
        <f>IF(D262='!'!$GJ$15,'!'!$GJ$15,(SUM(W262,X262,Y262,Z261,Q262)))</f>
        <v>N</v>
      </c>
      <c r="H262" s="51"/>
      <c r="I262" s="299" t="str">
        <f>IF($I$12="","",IFERROR(IF(Report!$D$4='!'!$HE$4,VLOOKUP(A262,Reference!$B$25:$H$390,4,FALSE),VLOOKUP(A262,Monitoring!$B$25:$H$390,4,FALSE)),""))</f>
        <v/>
      </c>
      <c r="J262" s="256"/>
      <c r="K262" s="299" t="str">
        <f>IF($K$12="","",IFERROR(IF(Report!$D$4='!'!$HE$4,VLOOKUP(A262,Reference!$B$25:$H$390,5,FALSE),VLOOKUP(A262,Monitoring!$B$25:$H$390,5,FALSE)),""))</f>
        <v/>
      </c>
      <c r="L262" s="256"/>
      <c r="M262" s="299" t="str">
        <f>IF($M$12="","",IFERROR(IF(Report!$D$4='!'!$HE$4,VLOOKUP(A262,Reference!$B$25:$H$390,6,FALSE),VLOOKUP(A262,Monitoring!$B$25:$H$390,6,FALSE)),""))</f>
        <v/>
      </c>
      <c r="N262" s="256"/>
      <c r="O262" s="299" t="str">
        <f>IF($O$12="","",IFERROR(IF(Report!$D$4='!'!$HE$4,VLOOKUP(A262,Reference!$B$25:$H$390,7,FALSE),VLOOKUP(A262,Monitoring!$B$25:$H$390,7,FALSE)),""))</f>
        <v/>
      </c>
      <c r="P262" s="51"/>
      <c r="Q262" s="151" t="str">
        <f>IF(B262='!'!$GJ$15,'!'!$GJ$15,$Q$12)</f>
        <v>N</v>
      </c>
      <c r="S262" s="4" t="str">
        <f>IFERROR(ABS(T262),'!'!$GJ$15)</f>
        <v>N</v>
      </c>
      <c r="T262" s="84" t="str">
        <f>IFERROR(+G262-D262,'!'!$GJ$15)</f>
        <v>N</v>
      </c>
      <c r="U262" s="64" t="str">
        <f t="shared" si="7"/>
        <v>N</v>
      </c>
      <c r="W262" s="153" t="str">
        <f>IFERROR(I$10*I262,'!'!$GJ$15)</f>
        <v>N</v>
      </c>
      <c r="X262" s="153" t="str">
        <f>IFERROR(K$10*K262,'!'!$GJ$15)</f>
        <v>N</v>
      </c>
      <c r="Y262" s="153" t="str">
        <f>IFERROR(M$10*M262,'!'!$GJ$15)</f>
        <v>N</v>
      </c>
      <c r="Z262" s="153" t="str">
        <f>IFERROR(O$10*O263,'!'!$GJ$15)</f>
        <v>N</v>
      </c>
    </row>
    <row r="263" spans="1:26" x14ac:dyDescent="0.35">
      <c r="A263" s="4">
        <f t="shared" si="6"/>
        <v>239</v>
      </c>
      <c r="B263" s="286" t="str">
        <f>IFERROR(IF(Report!$D$4='!'!$HE$4,VLOOKUP(A263,Reference!$B$25:$H$390,2,FALSE),VLOOKUP(A263,Monitoring!$B$25:$H$390,2,FALSE)),'!'!$GJ$15)</f>
        <v>N</v>
      </c>
      <c r="C263" s="58" t="str">
        <f>Reference!A263</f>
        <v/>
      </c>
      <c r="D263" s="287" t="str">
        <f>IFERROR(IF(Report!$D$4='!'!$HE$4,VLOOKUP(A263,Reference!$B$25:$H$390,3,FALSE),VLOOKUP(A263,Monitoring!$B$25:$H$390,3,FALSE)),'!'!$GJ$15)</f>
        <v>N</v>
      </c>
      <c r="E263" s="285"/>
      <c r="F263" s="254"/>
      <c r="G263" s="151" t="str">
        <f>IF(D263='!'!$GJ$15,'!'!$GJ$15,(SUM(W263,X263,Y263,Z262,Q263)))</f>
        <v>N</v>
      </c>
      <c r="H263" s="51"/>
      <c r="I263" s="299" t="str">
        <f>IF($I$12="","",IFERROR(IF(Report!$D$4='!'!$HE$4,VLOOKUP(A263,Reference!$B$25:$H$390,4,FALSE),VLOOKUP(A263,Monitoring!$B$25:$H$390,4,FALSE)),""))</f>
        <v/>
      </c>
      <c r="J263" s="256"/>
      <c r="K263" s="299" t="str">
        <f>IF($K$12="","",IFERROR(IF(Report!$D$4='!'!$HE$4,VLOOKUP(A263,Reference!$B$25:$H$390,5,FALSE),VLOOKUP(A263,Monitoring!$B$25:$H$390,5,FALSE)),""))</f>
        <v/>
      </c>
      <c r="L263" s="256"/>
      <c r="M263" s="299" t="str">
        <f>IF($M$12="","",IFERROR(IF(Report!$D$4='!'!$HE$4,VLOOKUP(A263,Reference!$B$25:$H$390,6,FALSE),VLOOKUP(A263,Monitoring!$B$25:$H$390,6,FALSE)),""))</f>
        <v/>
      </c>
      <c r="N263" s="256"/>
      <c r="O263" s="299" t="str">
        <f>IF($O$12="","",IFERROR(IF(Report!$D$4='!'!$HE$4,VLOOKUP(A263,Reference!$B$25:$H$390,7,FALSE),VLOOKUP(A263,Monitoring!$B$25:$H$390,7,FALSE)),""))</f>
        <v/>
      </c>
      <c r="P263" s="51"/>
      <c r="Q263" s="151" t="str">
        <f>IF(B263='!'!$GJ$15,'!'!$GJ$15,$Q$12)</f>
        <v>N</v>
      </c>
      <c r="S263" s="4" t="str">
        <f>IFERROR(ABS(T263),'!'!$GJ$15)</f>
        <v>N</v>
      </c>
      <c r="T263" s="84" t="str">
        <f>IFERROR(+G263-D263,'!'!$GJ$15)</f>
        <v>N</v>
      </c>
      <c r="U263" s="64" t="str">
        <f t="shared" si="7"/>
        <v>N</v>
      </c>
      <c r="W263" s="153" t="str">
        <f>IFERROR(I$10*I263,'!'!$GJ$15)</f>
        <v>N</v>
      </c>
      <c r="X263" s="153" t="str">
        <f>IFERROR(K$10*K263,'!'!$GJ$15)</f>
        <v>N</v>
      </c>
      <c r="Y263" s="153" t="str">
        <f>IFERROR(M$10*M263,'!'!$GJ$15)</f>
        <v>N</v>
      </c>
      <c r="Z263" s="153" t="str">
        <f>IFERROR(O$10*O264,'!'!$GJ$15)</f>
        <v>N</v>
      </c>
    </row>
    <row r="264" spans="1:26" x14ac:dyDescent="0.35">
      <c r="A264" s="4">
        <f t="shared" si="6"/>
        <v>240</v>
      </c>
      <c r="B264" s="286" t="str">
        <f>IFERROR(IF(Report!$D$4='!'!$HE$4,VLOOKUP(A264,Reference!$B$25:$H$390,2,FALSE),VLOOKUP(A264,Monitoring!$B$25:$H$390,2,FALSE)),'!'!$GJ$15)</f>
        <v>N</v>
      </c>
      <c r="C264" s="58" t="str">
        <f>Reference!A264</f>
        <v/>
      </c>
      <c r="D264" s="287" t="str">
        <f>IFERROR(IF(Report!$D$4='!'!$HE$4,VLOOKUP(A264,Reference!$B$25:$H$390,3,FALSE),VLOOKUP(A264,Monitoring!$B$25:$H$390,3,FALSE)),'!'!$GJ$15)</f>
        <v>N</v>
      </c>
      <c r="E264" s="285"/>
      <c r="F264" s="254"/>
      <c r="G264" s="151" t="str">
        <f>IF(D264='!'!$GJ$15,'!'!$GJ$15,(SUM(W264,X264,Y264,Z263,Q264)))</f>
        <v>N</v>
      </c>
      <c r="H264" s="51"/>
      <c r="I264" s="299" t="str">
        <f>IF($I$12="","",IFERROR(IF(Report!$D$4='!'!$HE$4,VLOOKUP(A264,Reference!$B$25:$H$390,4,FALSE),VLOOKUP(A264,Monitoring!$B$25:$H$390,4,FALSE)),""))</f>
        <v/>
      </c>
      <c r="J264" s="256"/>
      <c r="K264" s="299" t="str">
        <f>IF($K$12="","",IFERROR(IF(Report!$D$4='!'!$HE$4,VLOOKUP(A264,Reference!$B$25:$H$390,5,FALSE),VLOOKUP(A264,Monitoring!$B$25:$H$390,5,FALSE)),""))</f>
        <v/>
      </c>
      <c r="L264" s="256"/>
      <c r="M264" s="299" t="str">
        <f>IF($M$12="","",IFERROR(IF(Report!$D$4='!'!$HE$4,VLOOKUP(A264,Reference!$B$25:$H$390,6,FALSE),VLOOKUP(A264,Monitoring!$B$25:$H$390,6,FALSE)),""))</f>
        <v/>
      </c>
      <c r="N264" s="256"/>
      <c r="O264" s="299" t="str">
        <f>IF($O$12="","",IFERROR(IF(Report!$D$4='!'!$HE$4,VLOOKUP(A264,Reference!$B$25:$H$390,7,FALSE),VLOOKUP(A264,Monitoring!$B$25:$H$390,7,FALSE)),""))</f>
        <v/>
      </c>
      <c r="P264" s="51"/>
      <c r="Q264" s="151" t="str">
        <f>IF(B264='!'!$GJ$15,'!'!$GJ$15,$Q$12)</f>
        <v>N</v>
      </c>
      <c r="S264" s="4" t="str">
        <f>IFERROR(ABS(T264),'!'!$GJ$15)</f>
        <v>N</v>
      </c>
      <c r="T264" s="84" t="str">
        <f>IFERROR(+G264-D264,'!'!$GJ$15)</f>
        <v>N</v>
      </c>
      <c r="U264" s="64" t="str">
        <f t="shared" si="7"/>
        <v>N</v>
      </c>
      <c r="W264" s="153" t="str">
        <f>IFERROR(I$10*I264,'!'!$GJ$15)</f>
        <v>N</v>
      </c>
      <c r="X264" s="153" t="str">
        <f>IFERROR(K$10*K264,'!'!$GJ$15)</f>
        <v>N</v>
      </c>
      <c r="Y264" s="153" t="str">
        <f>IFERROR(M$10*M264,'!'!$GJ$15)</f>
        <v>N</v>
      </c>
      <c r="Z264" s="153" t="str">
        <f>IFERROR(O$10*O265,'!'!$GJ$15)</f>
        <v>N</v>
      </c>
    </row>
    <row r="265" spans="1:26" x14ac:dyDescent="0.35">
      <c r="A265" s="4">
        <f t="shared" si="6"/>
        <v>241</v>
      </c>
      <c r="B265" s="286" t="str">
        <f>IFERROR(IF(Report!$D$4='!'!$HE$4,VLOOKUP(A265,Reference!$B$25:$H$390,2,FALSE),VLOOKUP(A265,Monitoring!$B$25:$H$390,2,FALSE)),'!'!$GJ$15)</f>
        <v>N</v>
      </c>
      <c r="C265" s="58" t="str">
        <f>Reference!A265</f>
        <v/>
      </c>
      <c r="D265" s="287" t="str">
        <f>IFERROR(IF(Report!$D$4='!'!$HE$4,VLOOKUP(A265,Reference!$B$25:$H$390,3,FALSE),VLOOKUP(A265,Monitoring!$B$25:$H$390,3,FALSE)),'!'!$GJ$15)</f>
        <v>N</v>
      </c>
      <c r="E265" s="285"/>
      <c r="F265" s="254"/>
      <c r="G265" s="151" t="str">
        <f>IF(D265='!'!$GJ$15,'!'!$GJ$15,(SUM(W265,X265,Y265,Z264,Q265)))</f>
        <v>N</v>
      </c>
      <c r="H265" s="51"/>
      <c r="I265" s="299" t="str">
        <f>IF($I$12="","",IFERROR(IF(Report!$D$4='!'!$HE$4,VLOOKUP(A265,Reference!$B$25:$H$390,4,FALSE),VLOOKUP(A265,Monitoring!$B$25:$H$390,4,FALSE)),""))</f>
        <v/>
      </c>
      <c r="J265" s="256"/>
      <c r="K265" s="299" t="str">
        <f>IF($K$12="","",IFERROR(IF(Report!$D$4='!'!$HE$4,VLOOKUP(A265,Reference!$B$25:$H$390,5,FALSE),VLOOKUP(A265,Monitoring!$B$25:$H$390,5,FALSE)),""))</f>
        <v/>
      </c>
      <c r="L265" s="256"/>
      <c r="M265" s="299" t="str">
        <f>IF($M$12="","",IFERROR(IF(Report!$D$4='!'!$HE$4,VLOOKUP(A265,Reference!$B$25:$H$390,6,FALSE),VLOOKUP(A265,Monitoring!$B$25:$H$390,6,FALSE)),""))</f>
        <v/>
      </c>
      <c r="N265" s="256"/>
      <c r="O265" s="299" t="str">
        <f>IF($O$12="","",IFERROR(IF(Report!$D$4='!'!$HE$4,VLOOKUP(A265,Reference!$B$25:$H$390,7,FALSE),VLOOKUP(A265,Monitoring!$B$25:$H$390,7,FALSE)),""))</f>
        <v/>
      </c>
      <c r="P265" s="51"/>
      <c r="Q265" s="151" t="str">
        <f>IF(B265='!'!$GJ$15,'!'!$GJ$15,$Q$12)</f>
        <v>N</v>
      </c>
      <c r="S265" s="4" t="str">
        <f>IFERROR(ABS(T265),'!'!$GJ$15)</f>
        <v>N</v>
      </c>
      <c r="T265" s="84" t="str">
        <f>IFERROR(+G265-D265,'!'!$GJ$15)</f>
        <v>N</v>
      </c>
      <c r="U265" s="64" t="str">
        <f t="shared" si="7"/>
        <v>N</v>
      </c>
      <c r="W265" s="153" t="str">
        <f>IFERROR(I$10*I265,'!'!$GJ$15)</f>
        <v>N</v>
      </c>
      <c r="X265" s="153" t="str">
        <f>IFERROR(K$10*K265,'!'!$GJ$15)</f>
        <v>N</v>
      </c>
      <c r="Y265" s="153" t="str">
        <f>IFERROR(M$10*M265,'!'!$GJ$15)</f>
        <v>N</v>
      </c>
      <c r="Z265" s="153" t="str">
        <f>IFERROR(O$10*O266,'!'!$GJ$15)</f>
        <v>N</v>
      </c>
    </row>
    <row r="266" spans="1:26" x14ac:dyDescent="0.35">
      <c r="A266" s="4">
        <f t="shared" si="6"/>
        <v>242</v>
      </c>
      <c r="B266" s="286" t="str">
        <f>IFERROR(IF(Report!$D$4='!'!$HE$4,VLOOKUP(A266,Reference!$B$25:$H$390,2,FALSE),VLOOKUP(A266,Monitoring!$B$25:$H$390,2,FALSE)),'!'!$GJ$15)</f>
        <v>N</v>
      </c>
      <c r="C266" s="58" t="str">
        <f>Reference!A266</f>
        <v/>
      </c>
      <c r="D266" s="287" t="str">
        <f>IFERROR(IF(Report!$D$4='!'!$HE$4,VLOOKUP(A266,Reference!$B$25:$H$390,3,FALSE),VLOOKUP(A266,Monitoring!$B$25:$H$390,3,FALSE)),'!'!$GJ$15)</f>
        <v>N</v>
      </c>
      <c r="E266" s="285"/>
      <c r="F266" s="254"/>
      <c r="G266" s="151" t="str">
        <f>IF(D266='!'!$GJ$15,'!'!$GJ$15,(SUM(W266,X266,Y266,Z265,Q266)))</f>
        <v>N</v>
      </c>
      <c r="H266" s="51"/>
      <c r="I266" s="299" t="str">
        <f>IF($I$12="","",IFERROR(IF(Report!$D$4='!'!$HE$4,VLOOKUP(A266,Reference!$B$25:$H$390,4,FALSE),VLOOKUP(A266,Monitoring!$B$25:$H$390,4,FALSE)),""))</f>
        <v/>
      </c>
      <c r="J266" s="256"/>
      <c r="K266" s="299" t="str">
        <f>IF($K$12="","",IFERROR(IF(Report!$D$4='!'!$HE$4,VLOOKUP(A266,Reference!$B$25:$H$390,5,FALSE),VLOOKUP(A266,Monitoring!$B$25:$H$390,5,FALSE)),""))</f>
        <v/>
      </c>
      <c r="L266" s="256"/>
      <c r="M266" s="299" t="str">
        <f>IF($M$12="","",IFERROR(IF(Report!$D$4='!'!$HE$4,VLOOKUP(A266,Reference!$B$25:$H$390,6,FALSE),VLOOKUP(A266,Monitoring!$B$25:$H$390,6,FALSE)),""))</f>
        <v/>
      </c>
      <c r="N266" s="256"/>
      <c r="O266" s="299" t="str">
        <f>IF($O$12="","",IFERROR(IF(Report!$D$4='!'!$HE$4,VLOOKUP(A266,Reference!$B$25:$H$390,7,FALSE),VLOOKUP(A266,Monitoring!$B$25:$H$390,7,FALSE)),""))</f>
        <v/>
      </c>
      <c r="P266" s="51"/>
      <c r="Q266" s="151" t="str">
        <f>IF(B266='!'!$GJ$15,'!'!$GJ$15,$Q$12)</f>
        <v>N</v>
      </c>
      <c r="S266" s="4" t="str">
        <f>IFERROR(ABS(T266),'!'!$GJ$15)</f>
        <v>N</v>
      </c>
      <c r="T266" s="84" t="str">
        <f>IFERROR(+G266-D266,'!'!$GJ$15)</f>
        <v>N</v>
      </c>
      <c r="U266" s="64" t="str">
        <f t="shared" si="7"/>
        <v>N</v>
      </c>
      <c r="W266" s="153" t="str">
        <f>IFERROR(I$10*I266,'!'!$GJ$15)</f>
        <v>N</v>
      </c>
      <c r="X266" s="153" t="str">
        <f>IFERROR(K$10*K266,'!'!$GJ$15)</f>
        <v>N</v>
      </c>
      <c r="Y266" s="153" t="str">
        <f>IFERROR(M$10*M266,'!'!$GJ$15)</f>
        <v>N</v>
      </c>
      <c r="Z266" s="153" t="str">
        <f>IFERROR(O$10*O267,'!'!$GJ$15)</f>
        <v>N</v>
      </c>
    </row>
    <row r="267" spans="1:26" x14ac:dyDescent="0.35">
      <c r="A267" s="4">
        <f t="shared" si="6"/>
        <v>243</v>
      </c>
      <c r="B267" s="286" t="str">
        <f>IFERROR(IF(Report!$D$4='!'!$HE$4,VLOOKUP(A267,Reference!$B$25:$H$390,2,FALSE),VLOOKUP(A267,Monitoring!$B$25:$H$390,2,FALSE)),'!'!$GJ$15)</f>
        <v>N</v>
      </c>
      <c r="C267" s="58" t="str">
        <f>Reference!A267</f>
        <v/>
      </c>
      <c r="D267" s="287" t="str">
        <f>IFERROR(IF(Report!$D$4='!'!$HE$4,VLOOKUP(A267,Reference!$B$25:$H$390,3,FALSE),VLOOKUP(A267,Monitoring!$B$25:$H$390,3,FALSE)),'!'!$GJ$15)</f>
        <v>N</v>
      </c>
      <c r="E267" s="285"/>
      <c r="F267" s="254"/>
      <c r="G267" s="151" t="str">
        <f>IF(D267='!'!$GJ$15,'!'!$GJ$15,(SUM(W267,X267,Y267,Z266,Q267)))</f>
        <v>N</v>
      </c>
      <c r="H267" s="51"/>
      <c r="I267" s="299" t="str">
        <f>IF($I$12="","",IFERROR(IF(Report!$D$4='!'!$HE$4,VLOOKUP(A267,Reference!$B$25:$H$390,4,FALSE),VLOOKUP(A267,Monitoring!$B$25:$H$390,4,FALSE)),""))</f>
        <v/>
      </c>
      <c r="J267" s="256"/>
      <c r="K267" s="299" t="str">
        <f>IF($K$12="","",IFERROR(IF(Report!$D$4='!'!$HE$4,VLOOKUP(A267,Reference!$B$25:$H$390,5,FALSE),VLOOKUP(A267,Monitoring!$B$25:$H$390,5,FALSE)),""))</f>
        <v/>
      </c>
      <c r="L267" s="256"/>
      <c r="M267" s="299" t="str">
        <f>IF($M$12="","",IFERROR(IF(Report!$D$4='!'!$HE$4,VLOOKUP(A267,Reference!$B$25:$H$390,6,FALSE),VLOOKUP(A267,Monitoring!$B$25:$H$390,6,FALSE)),""))</f>
        <v/>
      </c>
      <c r="N267" s="256"/>
      <c r="O267" s="299" t="str">
        <f>IF($O$12="","",IFERROR(IF(Report!$D$4='!'!$HE$4,VLOOKUP(A267,Reference!$B$25:$H$390,7,FALSE),VLOOKUP(A267,Monitoring!$B$25:$H$390,7,FALSE)),""))</f>
        <v/>
      </c>
      <c r="P267" s="51"/>
      <c r="Q267" s="151" t="str">
        <f>IF(B267='!'!$GJ$15,'!'!$GJ$15,$Q$12)</f>
        <v>N</v>
      </c>
      <c r="S267" s="4" t="str">
        <f>IFERROR(ABS(T267),'!'!$GJ$15)</f>
        <v>N</v>
      </c>
      <c r="T267" s="84" t="str">
        <f>IFERROR(+G267-D267,'!'!$GJ$15)</f>
        <v>N</v>
      </c>
      <c r="U267" s="64" t="str">
        <f t="shared" si="7"/>
        <v>N</v>
      </c>
      <c r="W267" s="153" t="str">
        <f>IFERROR(I$10*I267,'!'!$GJ$15)</f>
        <v>N</v>
      </c>
      <c r="X267" s="153" t="str">
        <f>IFERROR(K$10*K267,'!'!$GJ$15)</f>
        <v>N</v>
      </c>
      <c r="Y267" s="153" t="str">
        <f>IFERROR(M$10*M267,'!'!$GJ$15)</f>
        <v>N</v>
      </c>
      <c r="Z267" s="153" t="str">
        <f>IFERROR(O$10*O268,'!'!$GJ$15)</f>
        <v>N</v>
      </c>
    </row>
    <row r="268" spans="1:26" x14ac:dyDescent="0.35">
      <c r="A268" s="4">
        <f t="shared" si="6"/>
        <v>244</v>
      </c>
      <c r="B268" s="286" t="str">
        <f>IFERROR(IF(Report!$D$4='!'!$HE$4,VLOOKUP(A268,Reference!$B$25:$H$390,2,FALSE),VLOOKUP(A268,Monitoring!$B$25:$H$390,2,FALSE)),'!'!$GJ$15)</f>
        <v>N</v>
      </c>
      <c r="C268" s="58" t="str">
        <f>Reference!A268</f>
        <v/>
      </c>
      <c r="D268" s="287" t="str">
        <f>IFERROR(IF(Report!$D$4='!'!$HE$4,VLOOKUP(A268,Reference!$B$25:$H$390,3,FALSE),VLOOKUP(A268,Monitoring!$B$25:$H$390,3,FALSE)),'!'!$GJ$15)</f>
        <v>N</v>
      </c>
      <c r="E268" s="285"/>
      <c r="F268" s="254"/>
      <c r="G268" s="151" t="str">
        <f>IF(D268='!'!$GJ$15,'!'!$GJ$15,(SUM(W268,X268,Y268,Z267,Q268)))</f>
        <v>N</v>
      </c>
      <c r="H268" s="51"/>
      <c r="I268" s="299" t="str">
        <f>IF($I$12="","",IFERROR(IF(Report!$D$4='!'!$HE$4,VLOOKUP(A268,Reference!$B$25:$H$390,4,FALSE),VLOOKUP(A268,Monitoring!$B$25:$H$390,4,FALSE)),""))</f>
        <v/>
      </c>
      <c r="J268" s="256"/>
      <c r="K268" s="299" t="str">
        <f>IF($K$12="","",IFERROR(IF(Report!$D$4='!'!$HE$4,VLOOKUP(A268,Reference!$B$25:$H$390,5,FALSE),VLOOKUP(A268,Monitoring!$B$25:$H$390,5,FALSE)),""))</f>
        <v/>
      </c>
      <c r="L268" s="256"/>
      <c r="M268" s="299" t="str">
        <f>IF($M$12="","",IFERROR(IF(Report!$D$4='!'!$HE$4,VLOOKUP(A268,Reference!$B$25:$H$390,6,FALSE),VLOOKUP(A268,Monitoring!$B$25:$H$390,6,FALSE)),""))</f>
        <v/>
      </c>
      <c r="N268" s="256"/>
      <c r="O268" s="299" t="str">
        <f>IF($O$12="","",IFERROR(IF(Report!$D$4='!'!$HE$4,VLOOKUP(A268,Reference!$B$25:$H$390,7,FALSE),VLOOKUP(A268,Monitoring!$B$25:$H$390,7,FALSE)),""))</f>
        <v/>
      </c>
      <c r="P268" s="51"/>
      <c r="Q268" s="151" t="str">
        <f>IF(B268='!'!$GJ$15,'!'!$GJ$15,$Q$12)</f>
        <v>N</v>
      </c>
      <c r="S268" s="4" t="str">
        <f>IFERROR(ABS(T268),'!'!$GJ$15)</f>
        <v>N</v>
      </c>
      <c r="T268" s="84" t="str">
        <f>IFERROR(+G268-D268,'!'!$GJ$15)</f>
        <v>N</v>
      </c>
      <c r="U268" s="64" t="str">
        <f t="shared" si="7"/>
        <v>N</v>
      </c>
      <c r="W268" s="153" t="str">
        <f>IFERROR(I$10*I268,'!'!$GJ$15)</f>
        <v>N</v>
      </c>
      <c r="X268" s="153" t="str">
        <f>IFERROR(K$10*K268,'!'!$GJ$15)</f>
        <v>N</v>
      </c>
      <c r="Y268" s="153" t="str">
        <f>IFERROR(M$10*M268,'!'!$GJ$15)</f>
        <v>N</v>
      </c>
      <c r="Z268" s="153" t="str">
        <f>IFERROR(O$10*O269,'!'!$GJ$15)</f>
        <v>N</v>
      </c>
    </row>
    <row r="269" spans="1:26" x14ac:dyDescent="0.35">
      <c r="A269" s="4">
        <f t="shared" si="6"/>
        <v>245</v>
      </c>
      <c r="B269" s="286" t="str">
        <f>IFERROR(IF(Report!$D$4='!'!$HE$4,VLOOKUP(A269,Reference!$B$25:$H$390,2,FALSE),VLOOKUP(A269,Monitoring!$B$25:$H$390,2,FALSE)),'!'!$GJ$15)</f>
        <v>N</v>
      </c>
      <c r="C269" s="58" t="str">
        <f>Reference!A269</f>
        <v/>
      </c>
      <c r="D269" s="287" t="str">
        <f>IFERROR(IF(Report!$D$4='!'!$HE$4,VLOOKUP(A269,Reference!$B$25:$H$390,3,FALSE),VLOOKUP(A269,Monitoring!$B$25:$H$390,3,FALSE)),'!'!$GJ$15)</f>
        <v>N</v>
      </c>
      <c r="E269" s="285"/>
      <c r="F269" s="254"/>
      <c r="G269" s="151" t="str">
        <f>IF(D269='!'!$GJ$15,'!'!$GJ$15,(SUM(W269,X269,Y269,Z268,Q269)))</f>
        <v>N</v>
      </c>
      <c r="H269" s="51"/>
      <c r="I269" s="299" t="str">
        <f>IF($I$12="","",IFERROR(IF(Report!$D$4='!'!$HE$4,VLOOKUP(A269,Reference!$B$25:$H$390,4,FALSE),VLOOKUP(A269,Monitoring!$B$25:$H$390,4,FALSE)),""))</f>
        <v/>
      </c>
      <c r="J269" s="256"/>
      <c r="K269" s="299" t="str">
        <f>IF($K$12="","",IFERROR(IF(Report!$D$4='!'!$HE$4,VLOOKUP(A269,Reference!$B$25:$H$390,5,FALSE),VLOOKUP(A269,Monitoring!$B$25:$H$390,5,FALSE)),""))</f>
        <v/>
      </c>
      <c r="L269" s="256"/>
      <c r="M269" s="299" t="str">
        <f>IF($M$12="","",IFERROR(IF(Report!$D$4='!'!$HE$4,VLOOKUP(A269,Reference!$B$25:$H$390,6,FALSE),VLOOKUP(A269,Monitoring!$B$25:$H$390,6,FALSE)),""))</f>
        <v/>
      </c>
      <c r="N269" s="256"/>
      <c r="O269" s="299" t="str">
        <f>IF($O$12="","",IFERROR(IF(Report!$D$4='!'!$HE$4,VLOOKUP(A269,Reference!$B$25:$H$390,7,FALSE),VLOOKUP(A269,Monitoring!$B$25:$H$390,7,FALSE)),""))</f>
        <v/>
      </c>
      <c r="P269" s="51"/>
      <c r="Q269" s="151" t="str">
        <f>IF(B269='!'!$GJ$15,'!'!$GJ$15,$Q$12)</f>
        <v>N</v>
      </c>
      <c r="S269" s="4" t="str">
        <f>IFERROR(ABS(T269),'!'!$GJ$15)</f>
        <v>N</v>
      </c>
      <c r="T269" s="84" t="str">
        <f>IFERROR(+G269-D269,'!'!$GJ$15)</f>
        <v>N</v>
      </c>
      <c r="U269" s="64" t="str">
        <f t="shared" si="7"/>
        <v>N</v>
      </c>
      <c r="W269" s="153" t="str">
        <f>IFERROR(I$10*I269,'!'!$GJ$15)</f>
        <v>N</v>
      </c>
      <c r="X269" s="153" t="str">
        <f>IFERROR(K$10*K269,'!'!$GJ$15)</f>
        <v>N</v>
      </c>
      <c r="Y269" s="153" t="str">
        <f>IFERROR(M$10*M269,'!'!$GJ$15)</f>
        <v>N</v>
      </c>
      <c r="Z269" s="153" t="str">
        <f>IFERROR(O$10*O270,'!'!$GJ$15)</f>
        <v>N</v>
      </c>
    </row>
    <row r="270" spans="1:26" x14ac:dyDescent="0.35">
      <c r="A270" s="4">
        <f t="shared" si="6"/>
        <v>246</v>
      </c>
      <c r="B270" s="286" t="str">
        <f>IFERROR(IF(Report!$D$4='!'!$HE$4,VLOOKUP(A270,Reference!$B$25:$H$390,2,FALSE),VLOOKUP(A270,Monitoring!$B$25:$H$390,2,FALSE)),'!'!$GJ$15)</f>
        <v>N</v>
      </c>
      <c r="C270" s="58" t="str">
        <f>Reference!A270</f>
        <v/>
      </c>
      <c r="D270" s="287" t="str">
        <f>IFERROR(IF(Report!$D$4='!'!$HE$4,VLOOKUP(A270,Reference!$B$25:$H$390,3,FALSE),VLOOKUP(A270,Monitoring!$B$25:$H$390,3,FALSE)),'!'!$GJ$15)</f>
        <v>N</v>
      </c>
      <c r="E270" s="285"/>
      <c r="F270" s="254"/>
      <c r="G270" s="151" t="str">
        <f>IF(D270='!'!$GJ$15,'!'!$GJ$15,(SUM(W270,X270,Y270,Z269,Q270)))</f>
        <v>N</v>
      </c>
      <c r="H270" s="51"/>
      <c r="I270" s="299" t="str">
        <f>IF($I$12="","",IFERROR(IF(Report!$D$4='!'!$HE$4,VLOOKUP(A270,Reference!$B$25:$H$390,4,FALSE),VLOOKUP(A270,Monitoring!$B$25:$H$390,4,FALSE)),""))</f>
        <v/>
      </c>
      <c r="J270" s="256"/>
      <c r="K270" s="299" t="str">
        <f>IF($K$12="","",IFERROR(IF(Report!$D$4='!'!$HE$4,VLOOKUP(A270,Reference!$B$25:$H$390,5,FALSE),VLOOKUP(A270,Monitoring!$B$25:$H$390,5,FALSE)),""))</f>
        <v/>
      </c>
      <c r="L270" s="256"/>
      <c r="M270" s="299" t="str">
        <f>IF($M$12="","",IFERROR(IF(Report!$D$4='!'!$HE$4,VLOOKUP(A270,Reference!$B$25:$H$390,6,FALSE),VLOOKUP(A270,Monitoring!$B$25:$H$390,6,FALSE)),""))</f>
        <v/>
      </c>
      <c r="N270" s="256"/>
      <c r="O270" s="299" t="str">
        <f>IF($O$12="","",IFERROR(IF(Report!$D$4='!'!$HE$4,VLOOKUP(A270,Reference!$B$25:$H$390,7,FALSE),VLOOKUP(A270,Monitoring!$B$25:$H$390,7,FALSE)),""))</f>
        <v/>
      </c>
      <c r="P270" s="51"/>
      <c r="Q270" s="151" t="str">
        <f>IF(B270='!'!$GJ$15,'!'!$GJ$15,$Q$12)</f>
        <v>N</v>
      </c>
      <c r="S270" s="4" t="str">
        <f>IFERROR(ABS(T270),'!'!$GJ$15)</f>
        <v>N</v>
      </c>
      <c r="T270" s="84" t="str">
        <f>IFERROR(+G270-D270,'!'!$GJ$15)</f>
        <v>N</v>
      </c>
      <c r="U270" s="64" t="str">
        <f t="shared" si="7"/>
        <v>N</v>
      </c>
      <c r="W270" s="153" t="str">
        <f>IFERROR(I$10*I270,'!'!$GJ$15)</f>
        <v>N</v>
      </c>
      <c r="X270" s="153" t="str">
        <f>IFERROR(K$10*K270,'!'!$GJ$15)</f>
        <v>N</v>
      </c>
      <c r="Y270" s="153" t="str">
        <f>IFERROR(M$10*M270,'!'!$GJ$15)</f>
        <v>N</v>
      </c>
      <c r="Z270" s="153" t="str">
        <f>IFERROR(O$10*O271,'!'!$GJ$15)</f>
        <v>N</v>
      </c>
    </row>
    <row r="271" spans="1:26" x14ac:dyDescent="0.35">
      <c r="A271" s="4">
        <f t="shared" si="6"/>
        <v>247</v>
      </c>
      <c r="B271" s="286" t="str">
        <f>IFERROR(IF(Report!$D$4='!'!$HE$4,VLOOKUP(A271,Reference!$B$25:$H$390,2,FALSE),VLOOKUP(A271,Monitoring!$B$25:$H$390,2,FALSE)),'!'!$GJ$15)</f>
        <v>N</v>
      </c>
      <c r="C271" s="58" t="str">
        <f>Reference!A271</f>
        <v/>
      </c>
      <c r="D271" s="287" t="str">
        <f>IFERROR(IF(Report!$D$4='!'!$HE$4,VLOOKUP(A271,Reference!$B$25:$H$390,3,FALSE),VLOOKUP(A271,Monitoring!$B$25:$H$390,3,FALSE)),'!'!$GJ$15)</f>
        <v>N</v>
      </c>
      <c r="E271" s="285"/>
      <c r="F271" s="254"/>
      <c r="G271" s="151" t="str">
        <f>IF(D271='!'!$GJ$15,'!'!$GJ$15,(SUM(W271,X271,Y271,Z270,Q271)))</f>
        <v>N</v>
      </c>
      <c r="H271" s="51"/>
      <c r="I271" s="299" t="str">
        <f>IF($I$12="","",IFERROR(IF(Report!$D$4='!'!$HE$4,VLOOKUP(A271,Reference!$B$25:$H$390,4,FALSE),VLOOKUP(A271,Monitoring!$B$25:$H$390,4,FALSE)),""))</f>
        <v/>
      </c>
      <c r="J271" s="256"/>
      <c r="K271" s="299" t="str">
        <f>IF($K$12="","",IFERROR(IF(Report!$D$4='!'!$HE$4,VLOOKUP(A271,Reference!$B$25:$H$390,5,FALSE),VLOOKUP(A271,Monitoring!$B$25:$H$390,5,FALSE)),""))</f>
        <v/>
      </c>
      <c r="L271" s="256"/>
      <c r="M271" s="299" t="str">
        <f>IF($M$12="","",IFERROR(IF(Report!$D$4='!'!$HE$4,VLOOKUP(A271,Reference!$B$25:$H$390,6,FALSE),VLOOKUP(A271,Monitoring!$B$25:$H$390,6,FALSE)),""))</f>
        <v/>
      </c>
      <c r="N271" s="256"/>
      <c r="O271" s="299" t="str">
        <f>IF($O$12="","",IFERROR(IF(Report!$D$4='!'!$HE$4,VLOOKUP(A271,Reference!$B$25:$H$390,7,FALSE),VLOOKUP(A271,Monitoring!$B$25:$H$390,7,FALSE)),""))</f>
        <v/>
      </c>
      <c r="P271" s="51"/>
      <c r="Q271" s="151" t="str">
        <f>IF(B271='!'!$GJ$15,'!'!$GJ$15,$Q$12)</f>
        <v>N</v>
      </c>
      <c r="S271" s="4" t="str">
        <f>IFERROR(ABS(T271),'!'!$GJ$15)</f>
        <v>N</v>
      </c>
      <c r="T271" s="84" t="str">
        <f>IFERROR(+G271-D271,'!'!$GJ$15)</f>
        <v>N</v>
      </c>
      <c r="U271" s="64" t="str">
        <f t="shared" si="7"/>
        <v>N</v>
      </c>
      <c r="W271" s="153" t="str">
        <f>IFERROR(I$10*I271,'!'!$GJ$15)</f>
        <v>N</v>
      </c>
      <c r="X271" s="153" t="str">
        <f>IFERROR(K$10*K271,'!'!$GJ$15)</f>
        <v>N</v>
      </c>
      <c r="Y271" s="153" t="str">
        <f>IFERROR(M$10*M271,'!'!$GJ$15)</f>
        <v>N</v>
      </c>
      <c r="Z271" s="153" t="str">
        <f>IFERROR(O$10*O272,'!'!$GJ$15)</f>
        <v>N</v>
      </c>
    </row>
    <row r="272" spans="1:26" x14ac:dyDescent="0.35">
      <c r="A272" s="4">
        <f t="shared" si="6"/>
        <v>248</v>
      </c>
      <c r="B272" s="286" t="str">
        <f>IFERROR(IF(Report!$D$4='!'!$HE$4,VLOOKUP(A272,Reference!$B$25:$H$390,2,FALSE),VLOOKUP(A272,Monitoring!$B$25:$H$390,2,FALSE)),'!'!$GJ$15)</f>
        <v>N</v>
      </c>
      <c r="C272" s="58" t="str">
        <f>Reference!A272</f>
        <v/>
      </c>
      <c r="D272" s="287" t="str">
        <f>IFERROR(IF(Report!$D$4='!'!$HE$4,VLOOKUP(A272,Reference!$B$25:$H$390,3,FALSE),VLOOKUP(A272,Monitoring!$B$25:$H$390,3,FALSE)),'!'!$GJ$15)</f>
        <v>N</v>
      </c>
      <c r="E272" s="285"/>
      <c r="F272" s="254"/>
      <c r="G272" s="151" t="str">
        <f>IF(D272='!'!$GJ$15,'!'!$GJ$15,(SUM(W272,X272,Y272,Z271,Q272)))</f>
        <v>N</v>
      </c>
      <c r="H272" s="51"/>
      <c r="I272" s="299" t="str">
        <f>IF($I$12="","",IFERROR(IF(Report!$D$4='!'!$HE$4,VLOOKUP(A272,Reference!$B$25:$H$390,4,FALSE),VLOOKUP(A272,Monitoring!$B$25:$H$390,4,FALSE)),""))</f>
        <v/>
      </c>
      <c r="J272" s="256"/>
      <c r="K272" s="299" t="str">
        <f>IF($K$12="","",IFERROR(IF(Report!$D$4='!'!$HE$4,VLOOKUP(A272,Reference!$B$25:$H$390,5,FALSE),VLOOKUP(A272,Monitoring!$B$25:$H$390,5,FALSE)),""))</f>
        <v/>
      </c>
      <c r="L272" s="256"/>
      <c r="M272" s="299" t="str">
        <f>IF($M$12="","",IFERROR(IF(Report!$D$4='!'!$HE$4,VLOOKUP(A272,Reference!$B$25:$H$390,6,FALSE),VLOOKUP(A272,Monitoring!$B$25:$H$390,6,FALSE)),""))</f>
        <v/>
      </c>
      <c r="N272" s="256"/>
      <c r="O272" s="299" t="str">
        <f>IF($O$12="","",IFERROR(IF(Report!$D$4='!'!$HE$4,VLOOKUP(A272,Reference!$B$25:$H$390,7,FALSE),VLOOKUP(A272,Monitoring!$B$25:$H$390,7,FALSE)),""))</f>
        <v/>
      </c>
      <c r="P272" s="51"/>
      <c r="Q272" s="151" t="str">
        <f>IF(B272='!'!$GJ$15,'!'!$GJ$15,$Q$12)</f>
        <v>N</v>
      </c>
      <c r="S272" s="4" t="str">
        <f>IFERROR(ABS(T272),'!'!$GJ$15)</f>
        <v>N</v>
      </c>
      <c r="T272" s="84" t="str">
        <f>IFERROR(+G272-D272,'!'!$GJ$15)</f>
        <v>N</v>
      </c>
      <c r="U272" s="64" t="str">
        <f t="shared" si="7"/>
        <v>N</v>
      </c>
      <c r="W272" s="153" t="str">
        <f>IFERROR(I$10*I272,'!'!$GJ$15)</f>
        <v>N</v>
      </c>
      <c r="X272" s="153" t="str">
        <f>IFERROR(K$10*K272,'!'!$GJ$15)</f>
        <v>N</v>
      </c>
      <c r="Y272" s="153" t="str">
        <f>IFERROR(M$10*M272,'!'!$GJ$15)</f>
        <v>N</v>
      </c>
      <c r="Z272" s="153" t="str">
        <f>IFERROR(O$10*O273,'!'!$GJ$15)</f>
        <v>N</v>
      </c>
    </row>
    <row r="273" spans="1:26" x14ac:dyDescent="0.35">
      <c r="A273" s="4">
        <f t="shared" si="6"/>
        <v>249</v>
      </c>
      <c r="B273" s="286" t="str">
        <f>IFERROR(IF(Report!$D$4='!'!$HE$4,VLOOKUP(A273,Reference!$B$25:$H$390,2,FALSE),VLOOKUP(A273,Monitoring!$B$25:$H$390,2,FALSE)),'!'!$GJ$15)</f>
        <v>N</v>
      </c>
      <c r="C273" s="58" t="str">
        <f>Reference!A273</f>
        <v/>
      </c>
      <c r="D273" s="287" t="str">
        <f>IFERROR(IF(Report!$D$4='!'!$HE$4,VLOOKUP(A273,Reference!$B$25:$H$390,3,FALSE),VLOOKUP(A273,Monitoring!$B$25:$H$390,3,FALSE)),'!'!$GJ$15)</f>
        <v>N</v>
      </c>
      <c r="E273" s="285"/>
      <c r="F273" s="254"/>
      <c r="G273" s="151" t="str">
        <f>IF(D273='!'!$GJ$15,'!'!$GJ$15,(SUM(W273,X273,Y273,Z272,Q273)))</f>
        <v>N</v>
      </c>
      <c r="H273" s="51"/>
      <c r="I273" s="299" t="str">
        <f>IF($I$12="","",IFERROR(IF(Report!$D$4='!'!$HE$4,VLOOKUP(A273,Reference!$B$25:$H$390,4,FALSE),VLOOKUP(A273,Monitoring!$B$25:$H$390,4,FALSE)),""))</f>
        <v/>
      </c>
      <c r="J273" s="256"/>
      <c r="K273" s="299" t="str">
        <f>IF($K$12="","",IFERROR(IF(Report!$D$4='!'!$HE$4,VLOOKUP(A273,Reference!$B$25:$H$390,5,FALSE),VLOOKUP(A273,Monitoring!$B$25:$H$390,5,FALSE)),""))</f>
        <v/>
      </c>
      <c r="L273" s="256"/>
      <c r="M273" s="299" t="str">
        <f>IF($M$12="","",IFERROR(IF(Report!$D$4='!'!$HE$4,VLOOKUP(A273,Reference!$B$25:$H$390,6,FALSE),VLOOKUP(A273,Monitoring!$B$25:$H$390,6,FALSE)),""))</f>
        <v/>
      </c>
      <c r="N273" s="256"/>
      <c r="O273" s="299" t="str">
        <f>IF($O$12="","",IFERROR(IF(Report!$D$4='!'!$HE$4,VLOOKUP(A273,Reference!$B$25:$H$390,7,FALSE),VLOOKUP(A273,Monitoring!$B$25:$H$390,7,FALSE)),""))</f>
        <v/>
      </c>
      <c r="P273" s="51"/>
      <c r="Q273" s="151" t="str">
        <f>IF(B273='!'!$GJ$15,'!'!$GJ$15,$Q$12)</f>
        <v>N</v>
      </c>
      <c r="S273" s="4" t="str">
        <f>IFERROR(ABS(T273),'!'!$GJ$15)</f>
        <v>N</v>
      </c>
      <c r="T273" s="84" t="str">
        <f>IFERROR(+G273-D273,'!'!$GJ$15)</f>
        <v>N</v>
      </c>
      <c r="U273" s="64" t="str">
        <f t="shared" si="7"/>
        <v>N</v>
      </c>
      <c r="W273" s="153" t="str">
        <f>IFERROR(I$10*I273,'!'!$GJ$15)</f>
        <v>N</v>
      </c>
      <c r="X273" s="153" t="str">
        <f>IFERROR(K$10*K273,'!'!$GJ$15)</f>
        <v>N</v>
      </c>
      <c r="Y273" s="153" t="str">
        <f>IFERROR(M$10*M273,'!'!$GJ$15)</f>
        <v>N</v>
      </c>
      <c r="Z273" s="153" t="str">
        <f>IFERROR(O$10*O274,'!'!$GJ$15)</f>
        <v>N</v>
      </c>
    </row>
    <row r="274" spans="1:26" x14ac:dyDescent="0.35">
      <c r="A274" s="4">
        <f t="shared" si="6"/>
        <v>250</v>
      </c>
      <c r="B274" s="286" t="str">
        <f>IFERROR(IF(Report!$D$4='!'!$HE$4,VLOOKUP(A274,Reference!$B$25:$H$390,2,FALSE),VLOOKUP(A274,Monitoring!$B$25:$H$390,2,FALSE)),'!'!$GJ$15)</f>
        <v>N</v>
      </c>
      <c r="C274" s="58" t="str">
        <f>Reference!A274</f>
        <v/>
      </c>
      <c r="D274" s="287" t="str">
        <f>IFERROR(IF(Report!$D$4='!'!$HE$4,VLOOKUP(A274,Reference!$B$25:$H$390,3,FALSE),VLOOKUP(A274,Monitoring!$B$25:$H$390,3,FALSE)),'!'!$GJ$15)</f>
        <v>N</v>
      </c>
      <c r="E274" s="285"/>
      <c r="F274" s="254"/>
      <c r="G274" s="151" t="str">
        <f>IF(D274='!'!$GJ$15,'!'!$GJ$15,(SUM(W274,X274,Y274,Z273,Q274)))</f>
        <v>N</v>
      </c>
      <c r="H274" s="51"/>
      <c r="I274" s="299" t="str">
        <f>IF($I$12="","",IFERROR(IF(Report!$D$4='!'!$HE$4,VLOOKUP(A274,Reference!$B$25:$H$390,4,FALSE),VLOOKUP(A274,Monitoring!$B$25:$H$390,4,FALSE)),""))</f>
        <v/>
      </c>
      <c r="J274" s="256"/>
      <c r="K274" s="299" t="str">
        <f>IF($K$12="","",IFERROR(IF(Report!$D$4='!'!$HE$4,VLOOKUP(A274,Reference!$B$25:$H$390,5,FALSE),VLOOKUP(A274,Monitoring!$B$25:$H$390,5,FALSE)),""))</f>
        <v/>
      </c>
      <c r="L274" s="256"/>
      <c r="M274" s="299" t="str">
        <f>IF($M$12="","",IFERROR(IF(Report!$D$4='!'!$HE$4,VLOOKUP(A274,Reference!$B$25:$H$390,6,FALSE),VLOOKUP(A274,Monitoring!$B$25:$H$390,6,FALSE)),""))</f>
        <v/>
      </c>
      <c r="N274" s="256"/>
      <c r="O274" s="299" t="str">
        <f>IF($O$12="","",IFERROR(IF(Report!$D$4='!'!$HE$4,VLOOKUP(A274,Reference!$B$25:$H$390,7,FALSE),VLOOKUP(A274,Monitoring!$B$25:$H$390,7,FALSE)),""))</f>
        <v/>
      </c>
      <c r="P274" s="51"/>
      <c r="Q274" s="151" t="str">
        <f>IF(B274='!'!$GJ$15,'!'!$GJ$15,$Q$12)</f>
        <v>N</v>
      </c>
      <c r="S274" s="4" t="str">
        <f>IFERROR(ABS(T274),'!'!$GJ$15)</f>
        <v>N</v>
      </c>
      <c r="T274" s="84" t="str">
        <f>IFERROR(+G274-D274,'!'!$GJ$15)</f>
        <v>N</v>
      </c>
      <c r="U274" s="64" t="str">
        <f t="shared" si="7"/>
        <v>N</v>
      </c>
      <c r="W274" s="153" t="str">
        <f>IFERROR(I$10*I274,'!'!$GJ$15)</f>
        <v>N</v>
      </c>
      <c r="X274" s="153" t="str">
        <f>IFERROR(K$10*K274,'!'!$GJ$15)</f>
        <v>N</v>
      </c>
      <c r="Y274" s="153" t="str">
        <f>IFERROR(M$10*M274,'!'!$GJ$15)</f>
        <v>N</v>
      </c>
      <c r="Z274" s="153" t="str">
        <f>IFERROR(O$10*O275,'!'!$GJ$15)</f>
        <v>N</v>
      </c>
    </row>
    <row r="275" spans="1:26" x14ac:dyDescent="0.35">
      <c r="A275" s="4">
        <f t="shared" si="6"/>
        <v>251</v>
      </c>
      <c r="B275" s="286" t="str">
        <f>IFERROR(IF(Report!$D$4='!'!$HE$4,VLOOKUP(A275,Reference!$B$25:$H$390,2,FALSE),VLOOKUP(A275,Monitoring!$B$25:$H$390,2,FALSE)),'!'!$GJ$15)</f>
        <v>N</v>
      </c>
      <c r="C275" s="58" t="str">
        <f>Reference!A275</f>
        <v/>
      </c>
      <c r="D275" s="287" t="str">
        <f>IFERROR(IF(Report!$D$4='!'!$HE$4,VLOOKUP(A275,Reference!$B$25:$H$390,3,FALSE),VLOOKUP(A275,Monitoring!$B$25:$H$390,3,FALSE)),'!'!$GJ$15)</f>
        <v>N</v>
      </c>
      <c r="E275" s="285"/>
      <c r="F275" s="254"/>
      <c r="G275" s="151" t="str">
        <f>IF(D275='!'!$GJ$15,'!'!$GJ$15,(SUM(W275,X275,Y275,Z274,Q275)))</f>
        <v>N</v>
      </c>
      <c r="H275" s="51"/>
      <c r="I275" s="299" t="str">
        <f>IF($I$12="","",IFERROR(IF(Report!$D$4='!'!$HE$4,VLOOKUP(A275,Reference!$B$25:$H$390,4,FALSE),VLOOKUP(A275,Monitoring!$B$25:$H$390,4,FALSE)),""))</f>
        <v/>
      </c>
      <c r="J275" s="256"/>
      <c r="K275" s="299" t="str">
        <f>IF($K$12="","",IFERROR(IF(Report!$D$4='!'!$HE$4,VLOOKUP(A275,Reference!$B$25:$H$390,5,FALSE),VLOOKUP(A275,Monitoring!$B$25:$H$390,5,FALSE)),""))</f>
        <v/>
      </c>
      <c r="L275" s="256"/>
      <c r="M275" s="299" t="str">
        <f>IF($M$12="","",IFERROR(IF(Report!$D$4='!'!$HE$4,VLOOKUP(A275,Reference!$B$25:$H$390,6,FALSE),VLOOKUP(A275,Monitoring!$B$25:$H$390,6,FALSE)),""))</f>
        <v/>
      </c>
      <c r="N275" s="256"/>
      <c r="O275" s="299" t="str">
        <f>IF($O$12="","",IFERROR(IF(Report!$D$4='!'!$HE$4,VLOOKUP(A275,Reference!$B$25:$H$390,7,FALSE),VLOOKUP(A275,Monitoring!$B$25:$H$390,7,FALSE)),""))</f>
        <v/>
      </c>
      <c r="P275" s="51"/>
      <c r="Q275" s="151" t="str">
        <f>IF(B275='!'!$GJ$15,'!'!$GJ$15,$Q$12)</f>
        <v>N</v>
      </c>
      <c r="S275" s="4" t="str">
        <f>IFERROR(ABS(T275),'!'!$GJ$15)</f>
        <v>N</v>
      </c>
      <c r="T275" s="84" t="str">
        <f>IFERROR(+G275-D275,'!'!$GJ$15)</f>
        <v>N</v>
      </c>
      <c r="U275" s="64" t="str">
        <f t="shared" si="7"/>
        <v>N</v>
      </c>
      <c r="W275" s="153" t="str">
        <f>IFERROR(I$10*I275,'!'!$GJ$15)</f>
        <v>N</v>
      </c>
      <c r="X275" s="153" t="str">
        <f>IFERROR(K$10*K275,'!'!$GJ$15)</f>
        <v>N</v>
      </c>
      <c r="Y275" s="153" t="str">
        <f>IFERROR(M$10*M275,'!'!$GJ$15)</f>
        <v>N</v>
      </c>
      <c r="Z275" s="153" t="str">
        <f>IFERROR(O$10*O276,'!'!$GJ$15)</f>
        <v>N</v>
      </c>
    </row>
    <row r="276" spans="1:26" x14ac:dyDescent="0.35">
      <c r="A276" s="4">
        <f t="shared" si="6"/>
        <v>252</v>
      </c>
      <c r="B276" s="286" t="str">
        <f>IFERROR(IF(Report!$D$4='!'!$HE$4,VLOOKUP(A276,Reference!$B$25:$H$390,2,FALSE),VLOOKUP(A276,Monitoring!$B$25:$H$390,2,FALSE)),'!'!$GJ$15)</f>
        <v>N</v>
      </c>
      <c r="C276" s="58" t="str">
        <f>Reference!A276</f>
        <v/>
      </c>
      <c r="D276" s="287" t="str">
        <f>IFERROR(IF(Report!$D$4='!'!$HE$4,VLOOKUP(A276,Reference!$B$25:$H$390,3,FALSE),VLOOKUP(A276,Monitoring!$B$25:$H$390,3,FALSE)),'!'!$GJ$15)</f>
        <v>N</v>
      </c>
      <c r="E276" s="285"/>
      <c r="F276" s="254"/>
      <c r="G276" s="151" t="str">
        <f>IF(D276='!'!$GJ$15,'!'!$GJ$15,(SUM(W276,X276,Y276,Z275,Q276)))</f>
        <v>N</v>
      </c>
      <c r="H276" s="51"/>
      <c r="I276" s="299" t="str">
        <f>IF($I$12="","",IFERROR(IF(Report!$D$4='!'!$HE$4,VLOOKUP(A276,Reference!$B$25:$H$390,4,FALSE),VLOOKUP(A276,Monitoring!$B$25:$H$390,4,FALSE)),""))</f>
        <v/>
      </c>
      <c r="J276" s="256"/>
      <c r="K276" s="299" t="str">
        <f>IF($K$12="","",IFERROR(IF(Report!$D$4='!'!$HE$4,VLOOKUP(A276,Reference!$B$25:$H$390,5,FALSE),VLOOKUP(A276,Monitoring!$B$25:$H$390,5,FALSE)),""))</f>
        <v/>
      </c>
      <c r="L276" s="256"/>
      <c r="M276" s="299" t="str">
        <f>IF($M$12="","",IFERROR(IF(Report!$D$4='!'!$HE$4,VLOOKUP(A276,Reference!$B$25:$H$390,6,FALSE),VLOOKUP(A276,Monitoring!$B$25:$H$390,6,FALSE)),""))</f>
        <v/>
      </c>
      <c r="N276" s="256"/>
      <c r="O276" s="299" t="str">
        <f>IF($O$12="","",IFERROR(IF(Report!$D$4='!'!$HE$4,VLOOKUP(A276,Reference!$B$25:$H$390,7,FALSE),VLOOKUP(A276,Monitoring!$B$25:$H$390,7,FALSE)),""))</f>
        <v/>
      </c>
      <c r="P276" s="51"/>
      <c r="Q276" s="151" t="str">
        <f>IF(B276='!'!$GJ$15,'!'!$GJ$15,$Q$12)</f>
        <v>N</v>
      </c>
      <c r="S276" s="4" t="str">
        <f>IFERROR(ABS(T276),'!'!$GJ$15)</f>
        <v>N</v>
      </c>
      <c r="T276" s="84" t="str">
        <f>IFERROR(+G276-D276,'!'!$GJ$15)</f>
        <v>N</v>
      </c>
      <c r="U276" s="64" t="str">
        <f t="shared" si="7"/>
        <v>N</v>
      </c>
      <c r="W276" s="153" t="str">
        <f>IFERROR(I$10*I276,'!'!$GJ$15)</f>
        <v>N</v>
      </c>
      <c r="X276" s="153" t="str">
        <f>IFERROR(K$10*K276,'!'!$GJ$15)</f>
        <v>N</v>
      </c>
      <c r="Y276" s="153" t="str">
        <f>IFERROR(M$10*M276,'!'!$GJ$15)</f>
        <v>N</v>
      </c>
      <c r="Z276" s="153" t="str">
        <f>IFERROR(O$10*O277,'!'!$GJ$15)</f>
        <v>N</v>
      </c>
    </row>
    <row r="277" spans="1:26" x14ac:dyDescent="0.35">
      <c r="A277" s="4">
        <f t="shared" si="6"/>
        <v>253</v>
      </c>
      <c r="B277" s="286" t="str">
        <f>IFERROR(IF(Report!$D$4='!'!$HE$4,VLOOKUP(A277,Reference!$B$25:$H$390,2,FALSE),VLOOKUP(A277,Monitoring!$B$25:$H$390,2,FALSE)),'!'!$GJ$15)</f>
        <v>N</v>
      </c>
      <c r="C277" s="58" t="str">
        <f>Reference!A277</f>
        <v/>
      </c>
      <c r="D277" s="287" t="str">
        <f>IFERROR(IF(Report!$D$4='!'!$HE$4,VLOOKUP(A277,Reference!$B$25:$H$390,3,FALSE),VLOOKUP(A277,Monitoring!$B$25:$H$390,3,FALSE)),'!'!$GJ$15)</f>
        <v>N</v>
      </c>
      <c r="E277" s="285"/>
      <c r="F277" s="254"/>
      <c r="G277" s="151" t="str">
        <f>IF(D277='!'!$GJ$15,'!'!$GJ$15,(SUM(W277,X277,Y277,Z276,Q277)))</f>
        <v>N</v>
      </c>
      <c r="H277" s="51"/>
      <c r="I277" s="299" t="str">
        <f>IF($I$12="","",IFERROR(IF(Report!$D$4='!'!$HE$4,VLOOKUP(A277,Reference!$B$25:$H$390,4,FALSE),VLOOKUP(A277,Monitoring!$B$25:$H$390,4,FALSE)),""))</f>
        <v/>
      </c>
      <c r="J277" s="256"/>
      <c r="K277" s="299" t="str">
        <f>IF($K$12="","",IFERROR(IF(Report!$D$4='!'!$HE$4,VLOOKUP(A277,Reference!$B$25:$H$390,5,FALSE),VLOOKUP(A277,Monitoring!$B$25:$H$390,5,FALSE)),""))</f>
        <v/>
      </c>
      <c r="L277" s="256"/>
      <c r="M277" s="299" t="str">
        <f>IF($M$12="","",IFERROR(IF(Report!$D$4='!'!$HE$4,VLOOKUP(A277,Reference!$B$25:$H$390,6,FALSE),VLOOKUP(A277,Monitoring!$B$25:$H$390,6,FALSE)),""))</f>
        <v/>
      </c>
      <c r="N277" s="256"/>
      <c r="O277" s="299" t="str">
        <f>IF($O$12="","",IFERROR(IF(Report!$D$4='!'!$HE$4,VLOOKUP(A277,Reference!$B$25:$H$390,7,FALSE),VLOOKUP(A277,Monitoring!$B$25:$H$390,7,FALSE)),""))</f>
        <v/>
      </c>
      <c r="P277" s="51"/>
      <c r="Q277" s="151" t="str">
        <f>IF(B277='!'!$GJ$15,'!'!$GJ$15,$Q$12)</f>
        <v>N</v>
      </c>
      <c r="S277" s="4" t="str">
        <f>IFERROR(ABS(T277),'!'!$GJ$15)</f>
        <v>N</v>
      </c>
      <c r="T277" s="84" t="str">
        <f>IFERROR(+G277-D277,'!'!$GJ$15)</f>
        <v>N</v>
      </c>
      <c r="U277" s="64" t="str">
        <f t="shared" si="7"/>
        <v>N</v>
      </c>
      <c r="W277" s="153" t="str">
        <f>IFERROR(I$10*I277,'!'!$GJ$15)</f>
        <v>N</v>
      </c>
      <c r="X277" s="153" t="str">
        <f>IFERROR(K$10*K277,'!'!$GJ$15)</f>
        <v>N</v>
      </c>
      <c r="Y277" s="153" t="str">
        <f>IFERROR(M$10*M277,'!'!$GJ$15)</f>
        <v>N</v>
      </c>
      <c r="Z277" s="153" t="str">
        <f>IFERROR(O$10*O278,'!'!$GJ$15)</f>
        <v>N</v>
      </c>
    </row>
    <row r="278" spans="1:26" x14ac:dyDescent="0.35">
      <c r="A278" s="4">
        <f t="shared" si="6"/>
        <v>254</v>
      </c>
      <c r="B278" s="286" t="str">
        <f>IFERROR(IF(Report!$D$4='!'!$HE$4,VLOOKUP(A278,Reference!$B$25:$H$390,2,FALSE),VLOOKUP(A278,Monitoring!$B$25:$H$390,2,FALSE)),'!'!$GJ$15)</f>
        <v>N</v>
      </c>
      <c r="C278" s="58" t="str">
        <f>Reference!A278</f>
        <v/>
      </c>
      <c r="D278" s="287" t="str">
        <f>IFERROR(IF(Report!$D$4='!'!$HE$4,VLOOKUP(A278,Reference!$B$25:$H$390,3,FALSE),VLOOKUP(A278,Monitoring!$B$25:$H$390,3,FALSE)),'!'!$GJ$15)</f>
        <v>N</v>
      </c>
      <c r="E278" s="285"/>
      <c r="F278" s="254"/>
      <c r="G278" s="151" t="str">
        <f>IF(D278='!'!$GJ$15,'!'!$GJ$15,(SUM(W278,X278,Y278,Z277,Q278)))</f>
        <v>N</v>
      </c>
      <c r="H278" s="51"/>
      <c r="I278" s="299" t="str">
        <f>IF($I$12="","",IFERROR(IF(Report!$D$4='!'!$HE$4,VLOOKUP(A278,Reference!$B$25:$H$390,4,FALSE),VLOOKUP(A278,Monitoring!$B$25:$H$390,4,FALSE)),""))</f>
        <v/>
      </c>
      <c r="J278" s="256"/>
      <c r="K278" s="299" t="str">
        <f>IF($K$12="","",IFERROR(IF(Report!$D$4='!'!$HE$4,VLOOKUP(A278,Reference!$B$25:$H$390,5,FALSE),VLOOKUP(A278,Monitoring!$B$25:$H$390,5,FALSE)),""))</f>
        <v/>
      </c>
      <c r="L278" s="256"/>
      <c r="M278" s="299" t="str">
        <f>IF($M$12="","",IFERROR(IF(Report!$D$4='!'!$HE$4,VLOOKUP(A278,Reference!$B$25:$H$390,6,FALSE),VLOOKUP(A278,Monitoring!$B$25:$H$390,6,FALSE)),""))</f>
        <v/>
      </c>
      <c r="N278" s="256"/>
      <c r="O278" s="299" t="str">
        <f>IF($O$12="","",IFERROR(IF(Report!$D$4='!'!$HE$4,VLOOKUP(A278,Reference!$B$25:$H$390,7,FALSE),VLOOKUP(A278,Monitoring!$B$25:$H$390,7,FALSE)),""))</f>
        <v/>
      </c>
      <c r="P278" s="51"/>
      <c r="Q278" s="151" t="str">
        <f>IF(B278='!'!$GJ$15,'!'!$GJ$15,$Q$12)</f>
        <v>N</v>
      </c>
      <c r="S278" s="4" t="str">
        <f>IFERROR(ABS(T278),'!'!$GJ$15)</f>
        <v>N</v>
      </c>
      <c r="T278" s="84" t="str">
        <f>IFERROR(+G278-D278,'!'!$GJ$15)</f>
        <v>N</v>
      </c>
      <c r="U278" s="64" t="str">
        <f t="shared" si="7"/>
        <v>N</v>
      </c>
      <c r="W278" s="153" t="str">
        <f>IFERROR(I$10*I278,'!'!$GJ$15)</f>
        <v>N</v>
      </c>
      <c r="X278" s="153" t="str">
        <f>IFERROR(K$10*K278,'!'!$GJ$15)</f>
        <v>N</v>
      </c>
      <c r="Y278" s="153" t="str">
        <f>IFERROR(M$10*M278,'!'!$GJ$15)</f>
        <v>N</v>
      </c>
      <c r="Z278" s="153" t="str">
        <f>IFERROR(O$10*O279,'!'!$GJ$15)</f>
        <v>N</v>
      </c>
    </row>
    <row r="279" spans="1:26" x14ac:dyDescent="0.35">
      <c r="A279" s="4">
        <f t="shared" si="6"/>
        <v>255</v>
      </c>
      <c r="B279" s="286" t="str">
        <f>IFERROR(IF(Report!$D$4='!'!$HE$4,VLOOKUP(A279,Reference!$B$25:$H$390,2,FALSE),VLOOKUP(A279,Monitoring!$B$25:$H$390,2,FALSE)),'!'!$GJ$15)</f>
        <v>N</v>
      </c>
      <c r="C279" s="58" t="str">
        <f>Reference!A279</f>
        <v/>
      </c>
      <c r="D279" s="287" t="str">
        <f>IFERROR(IF(Report!$D$4='!'!$HE$4,VLOOKUP(A279,Reference!$B$25:$H$390,3,FALSE),VLOOKUP(A279,Monitoring!$B$25:$H$390,3,FALSE)),'!'!$GJ$15)</f>
        <v>N</v>
      </c>
      <c r="E279" s="285"/>
      <c r="F279" s="254"/>
      <c r="G279" s="151" t="str">
        <f>IF(D279='!'!$GJ$15,'!'!$GJ$15,(SUM(W279,X279,Y279,Z278,Q279)))</f>
        <v>N</v>
      </c>
      <c r="H279" s="51"/>
      <c r="I279" s="299" t="str">
        <f>IF($I$12="","",IFERROR(IF(Report!$D$4='!'!$HE$4,VLOOKUP(A279,Reference!$B$25:$H$390,4,FALSE),VLOOKUP(A279,Monitoring!$B$25:$H$390,4,FALSE)),""))</f>
        <v/>
      </c>
      <c r="J279" s="256"/>
      <c r="K279" s="299" t="str">
        <f>IF($K$12="","",IFERROR(IF(Report!$D$4='!'!$HE$4,VLOOKUP(A279,Reference!$B$25:$H$390,5,FALSE),VLOOKUP(A279,Monitoring!$B$25:$H$390,5,FALSE)),""))</f>
        <v/>
      </c>
      <c r="L279" s="256"/>
      <c r="M279" s="299" t="str">
        <f>IF($M$12="","",IFERROR(IF(Report!$D$4='!'!$HE$4,VLOOKUP(A279,Reference!$B$25:$H$390,6,FALSE),VLOOKUP(A279,Monitoring!$B$25:$H$390,6,FALSE)),""))</f>
        <v/>
      </c>
      <c r="N279" s="256"/>
      <c r="O279" s="299" t="str">
        <f>IF($O$12="","",IFERROR(IF(Report!$D$4='!'!$HE$4,VLOOKUP(A279,Reference!$B$25:$H$390,7,FALSE),VLOOKUP(A279,Monitoring!$B$25:$H$390,7,FALSE)),""))</f>
        <v/>
      </c>
      <c r="P279" s="51"/>
      <c r="Q279" s="151" t="str">
        <f>IF(B279='!'!$GJ$15,'!'!$GJ$15,$Q$12)</f>
        <v>N</v>
      </c>
      <c r="S279" s="4" t="str">
        <f>IFERROR(ABS(T279),'!'!$GJ$15)</f>
        <v>N</v>
      </c>
      <c r="T279" s="84" t="str">
        <f>IFERROR(+G279-D279,'!'!$GJ$15)</f>
        <v>N</v>
      </c>
      <c r="U279" s="64" t="str">
        <f t="shared" si="7"/>
        <v>N</v>
      </c>
      <c r="W279" s="153" t="str">
        <f>IFERROR(I$10*I279,'!'!$GJ$15)</f>
        <v>N</v>
      </c>
      <c r="X279" s="153" t="str">
        <f>IFERROR(K$10*K279,'!'!$GJ$15)</f>
        <v>N</v>
      </c>
      <c r="Y279" s="153" t="str">
        <f>IFERROR(M$10*M279,'!'!$GJ$15)</f>
        <v>N</v>
      </c>
      <c r="Z279" s="153" t="str">
        <f>IFERROR(O$10*O280,'!'!$GJ$15)</f>
        <v>N</v>
      </c>
    </row>
    <row r="280" spans="1:26" x14ac:dyDescent="0.35">
      <c r="A280" s="4">
        <f t="shared" si="6"/>
        <v>256</v>
      </c>
      <c r="B280" s="286" t="str">
        <f>IFERROR(IF(Report!$D$4='!'!$HE$4,VLOOKUP(A280,Reference!$B$25:$H$390,2,FALSE),VLOOKUP(A280,Monitoring!$B$25:$H$390,2,FALSE)),'!'!$GJ$15)</f>
        <v>N</v>
      </c>
      <c r="C280" s="58" t="str">
        <f>Reference!A280</f>
        <v/>
      </c>
      <c r="D280" s="287" t="str">
        <f>IFERROR(IF(Report!$D$4='!'!$HE$4,VLOOKUP(A280,Reference!$B$25:$H$390,3,FALSE),VLOOKUP(A280,Monitoring!$B$25:$H$390,3,FALSE)),'!'!$GJ$15)</f>
        <v>N</v>
      </c>
      <c r="E280" s="285"/>
      <c r="F280" s="254"/>
      <c r="G280" s="151" t="str">
        <f>IF(D280='!'!$GJ$15,'!'!$GJ$15,(SUM(W280,X280,Y280,Z279,Q280)))</f>
        <v>N</v>
      </c>
      <c r="H280" s="51"/>
      <c r="I280" s="299" t="str">
        <f>IF($I$12="","",IFERROR(IF(Report!$D$4='!'!$HE$4,VLOOKUP(A280,Reference!$B$25:$H$390,4,FALSE),VLOOKUP(A280,Monitoring!$B$25:$H$390,4,FALSE)),""))</f>
        <v/>
      </c>
      <c r="J280" s="256"/>
      <c r="K280" s="299" t="str">
        <f>IF($K$12="","",IFERROR(IF(Report!$D$4='!'!$HE$4,VLOOKUP(A280,Reference!$B$25:$H$390,5,FALSE),VLOOKUP(A280,Monitoring!$B$25:$H$390,5,FALSE)),""))</f>
        <v/>
      </c>
      <c r="L280" s="256"/>
      <c r="M280" s="299" t="str">
        <f>IF($M$12="","",IFERROR(IF(Report!$D$4='!'!$HE$4,VLOOKUP(A280,Reference!$B$25:$H$390,6,FALSE),VLOOKUP(A280,Monitoring!$B$25:$H$390,6,FALSE)),""))</f>
        <v/>
      </c>
      <c r="N280" s="256"/>
      <c r="O280" s="299" t="str">
        <f>IF($O$12="","",IFERROR(IF(Report!$D$4='!'!$HE$4,VLOOKUP(A280,Reference!$B$25:$H$390,7,FALSE),VLOOKUP(A280,Monitoring!$B$25:$H$390,7,FALSE)),""))</f>
        <v/>
      </c>
      <c r="P280" s="51"/>
      <c r="Q280" s="151" t="str">
        <f>IF(B280='!'!$GJ$15,'!'!$GJ$15,$Q$12)</f>
        <v>N</v>
      </c>
      <c r="S280" s="4" t="str">
        <f>IFERROR(ABS(T280),'!'!$GJ$15)</f>
        <v>N</v>
      </c>
      <c r="T280" s="84" t="str">
        <f>IFERROR(+G280-D280,'!'!$GJ$15)</f>
        <v>N</v>
      </c>
      <c r="U280" s="64" t="str">
        <f t="shared" si="7"/>
        <v>N</v>
      </c>
      <c r="W280" s="153" t="str">
        <f>IFERROR(I$10*I280,'!'!$GJ$15)</f>
        <v>N</v>
      </c>
      <c r="X280" s="153" t="str">
        <f>IFERROR(K$10*K280,'!'!$GJ$15)</f>
        <v>N</v>
      </c>
      <c r="Y280" s="153" t="str">
        <f>IFERROR(M$10*M280,'!'!$GJ$15)</f>
        <v>N</v>
      </c>
      <c r="Z280" s="153" t="str">
        <f>IFERROR(O$10*O281,'!'!$GJ$15)</f>
        <v>N</v>
      </c>
    </row>
    <row r="281" spans="1:26" x14ac:dyDescent="0.35">
      <c r="A281" s="4">
        <f t="shared" si="6"/>
        <v>257</v>
      </c>
      <c r="B281" s="286" t="str">
        <f>IFERROR(IF(Report!$D$4='!'!$HE$4,VLOOKUP(A281,Reference!$B$25:$H$390,2,FALSE),VLOOKUP(A281,Monitoring!$B$25:$H$390,2,FALSE)),'!'!$GJ$15)</f>
        <v>N</v>
      </c>
      <c r="C281" s="58" t="str">
        <f>Reference!A281</f>
        <v/>
      </c>
      <c r="D281" s="287" t="str">
        <f>IFERROR(IF(Report!$D$4='!'!$HE$4,VLOOKUP(A281,Reference!$B$25:$H$390,3,FALSE),VLOOKUP(A281,Monitoring!$B$25:$H$390,3,FALSE)),'!'!$GJ$15)</f>
        <v>N</v>
      </c>
      <c r="E281" s="285"/>
      <c r="F281" s="254"/>
      <c r="G281" s="151" t="str">
        <f>IF(D281='!'!$GJ$15,'!'!$GJ$15,(SUM(W281,X281,Y281,Z280,Q281)))</f>
        <v>N</v>
      </c>
      <c r="H281" s="51"/>
      <c r="I281" s="299" t="str">
        <f>IF($I$12="","",IFERROR(IF(Report!$D$4='!'!$HE$4,VLOOKUP(A281,Reference!$B$25:$H$390,4,FALSE),VLOOKUP(A281,Monitoring!$B$25:$H$390,4,FALSE)),""))</f>
        <v/>
      </c>
      <c r="J281" s="256"/>
      <c r="K281" s="299" t="str">
        <f>IF($K$12="","",IFERROR(IF(Report!$D$4='!'!$HE$4,VLOOKUP(A281,Reference!$B$25:$H$390,5,FALSE),VLOOKUP(A281,Monitoring!$B$25:$H$390,5,FALSE)),""))</f>
        <v/>
      </c>
      <c r="L281" s="256"/>
      <c r="M281" s="299" t="str">
        <f>IF($M$12="","",IFERROR(IF(Report!$D$4='!'!$HE$4,VLOOKUP(A281,Reference!$B$25:$H$390,6,FALSE),VLOOKUP(A281,Monitoring!$B$25:$H$390,6,FALSE)),""))</f>
        <v/>
      </c>
      <c r="N281" s="256"/>
      <c r="O281" s="299" t="str">
        <f>IF($O$12="","",IFERROR(IF(Report!$D$4='!'!$HE$4,VLOOKUP(A281,Reference!$B$25:$H$390,7,FALSE),VLOOKUP(A281,Monitoring!$B$25:$H$390,7,FALSE)),""))</f>
        <v/>
      </c>
      <c r="P281" s="51"/>
      <c r="Q281" s="151" t="str">
        <f>IF(B281='!'!$GJ$15,'!'!$GJ$15,$Q$12)</f>
        <v>N</v>
      </c>
      <c r="S281" s="4" t="str">
        <f>IFERROR(ABS(T281),'!'!$GJ$15)</f>
        <v>N</v>
      </c>
      <c r="T281" s="84" t="str">
        <f>IFERROR(+G281-D281,'!'!$GJ$15)</f>
        <v>N</v>
      </c>
      <c r="U281" s="64" t="str">
        <f t="shared" si="7"/>
        <v>N</v>
      </c>
      <c r="W281" s="153" t="str">
        <f>IFERROR(I$10*I281,'!'!$GJ$15)</f>
        <v>N</v>
      </c>
      <c r="X281" s="153" t="str">
        <f>IFERROR(K$10*K281,'!'!$GJ$15)</f>
        <v>N</v>
      </c>
      <c r="Y281" s="153" t="str">
        <f>IFERROR(M$10*M281,'!'!$GJ$15)</f>
        <v>N</v>
      </c>
      <c r="Z281" s="153" t="str">
        <f>IFERROR(O$10*O282,'!'!$GJ$15)</f>
        <v>N</v>
      </c>
    </row>
    <row r="282" spans="1:26" x14ac:dyDescent="0.35">
      <c r="A282" s="4">
        <f t="shared" ref="A282:A345" si="8">A281+1</f>
        <v>258</v>
      </c>
      <c r="B282" s="286" t="str">
        <f>IFERROR(IF(Report!$D$4='!'!$HE$4,VLOOKUP(A282,Reference!$B$25:$H$390,2,FALSE),VLOOKUP(A282,Monitoring!$B$25:$H$390,2,FALSE)),'!'!$GJ$15)</f>
        <v>N</v>
      </c>
      <c r="C282" s="58" t="str">
        <f>Reference!A282</f>
        <v/>
      </c>
      <c r="D282" s="287" t="str">
        <f>IFERROR(IF(Report!$D$4='!'!$HE$4,VLOOKUP(A282,Reference!$B$25:$H$390,3,FALSE),VLOOKUP(A282,Monitoring!$B$25:$H$390,3,FALSE)),'!'!$GJ$15)</f>
        <v>N</v>
      </c>
      <c r="E282" s="285"/>
      <c r="F282" s="254"/>
      <c r="G282" s="151" t="str">
        <f>IF(D282='!'!$GJ$15,'!'!$GJ$15,(SUM(W282,X282,Y282,Z281,Q282)))</f>
        <v>N</v>
      </c>
      <c r="H282" s="51"/>
      <c r="I282" s="299" t="str">
        <f>IF($I$12="","",IFERROR(IF(Report!$D$4='!'!$HE$4,VLOOKUP(A282,Reference!$B$25:$H$390,4,FALSE),VLOOKUP(A282,Monitoring!$B$25:$H$390,4,FALSE)),""))</f>
        <v/>
      </c>
      <c r="J282" s="256"/>
      <c r="K282" s="299" t="str">
        <f>IF($K$12="","",IFERROR(IF(Report!$D$4='!'!$HE$4,VLOOKUP(A282,Reference!$B$25:$H$390,5,FALSE),VLOOKUP(A282,Monitoring!$B$25:$H$390,5,FALSE)),""))</f>
        <v/>
      </c>
      <c r="L282" s="256"/>
      <c r="M282" s="299" t="str">
        <f>IF($M$12="","",IFERROR(IF(Report!$D$4='!'!$HE$4,VLOOKUP(A282,Reference!$B$25:$H$390,6,FALSE),VLOOKUP(A282,Monitoring!$B$25:$H$390,6,FALSE)),""))</f>
        <v/>
      </c>
      <c r="N282" s="256"/>
      <c r="O282" s="299" t="str">
        <f>IF($O$12="","",IFERROR(IF(Report!$D$4='!'!$HE$4,VLOOKUP(A282,Reference!$B$25:$H$390,7,FALSE),VLOOKUP(A282,Monitoring!$B$25:$H$390,7,FALSE)),""))</f>
        <v/>
      </c>
      <c r="P282" s="51"/>
      <c r="Q282" s="151" t="str">
        <f>IF(B282='!'!$GJ$15,'!'!$GJ$15,$Q$12)</f>
        <v>N</v>
      </c>
      <c r="S282" s="4" t="str">
        <f>IFERROR(ABS(T282),'!'!$GJ$15)</f>
        <v>N</v>
      </c>
      <c r="T282" s="84" t="str">
        <f>IFERROR(+G282-D282,'!'!$GJ$15)</f>
        <v>N</v>
      </c>
      <c r="U282" s="64" t="str">
        <f t="shared" ref="U282:U345" si="9">B282</f>
        <v>N</v>
      </c>
      <c r="W282" s="153" t="str">
        <f>IFERROR(I$10*I282,'!'!$GJ$15)</f>
        <v>N</v>
      </c>
      <c r="X282" s="153" t="str">
        <f>IFERROR(K$10*K282,'!'!$GJ$15)</f>
        <v>N</v>
      </c>
      <c r="Y282" s="153" t="str">
        <f>IFERROR(M$10*M282,'!'!$GJ$15)</f>
        <v>N</v>
      </c>
      <c r="Z282" s="153" t="str">
        <f>IFERROR(O$10*O283,'!'!$GJ$15)</f>
        <v>N</v>
      </c>
    </row>
    <row r="283" spans="1:26" x14ac:dyDescent="0.35">
      <c r="A283" s="4">
        <f t="shared" si="8"/>
        <v>259</v>
      </c>
      <c r="B283" s="286" t="str">
        <f>IFERROR(IF(Report!$D$4='!'!$HE$4,VLOOKUP(A283,Reference!$B$25:$H$390,2,FALSE),VLOOKUP(A283,Monitoring!$B$25:$H$390,2,FALSE)),'!'!$GJ$15)</f>
        <v>N</v>
      </c>
      <c r="C283" s="58" t="str">
        <f>Reference!A283</f>
        <v/>
      </c>
      <c r="D283" s="287" t="str">
        <f>IFERROR(IF(Report!$D$4='!'!$HE$4,VLOOKUP(A283,Reference!$B$25:$H$390,3,FALSE),VLOOKUP(A283,Monitoring!$B$25:$H$390,3,FALSE)),'!'!$GJ$15)</f>
        <v>N</v>
      </c>
      <c r="E283" s="285"/>
      <c r="F283" s="254"/>
      <c r="G283" s="151" t="str">
        <f>IF(D283='!'!$GJ$15,'!'!$GJ$15,(SUM(W283,X283,Y283,Z282,Q283)))</f>
        <v>N</v>
      </c>
      <c r="H283" s="51"/>
      <c r="I283" s="299" t="str">
        <f>IF($I$12="","",IFERROR(IF(Report!$D$4='!'!$HE$4,VLOOKUP(A283,Reference!$B$25:$H$390,4,FALSE),VLOOKUP(A283,Monitoring!$B$25:$H$390,4,FALSE)),""))</f>
        <v/>
      </c>
      <c r="J283" s="256"/>
      <c r="K283" s="299" t="str">
        <f>IF($K$12="","",IFERROR(IF(Report!$D$4='!'!$HE$4,VLOOKUP(A283,Reference!$B$25:$H$390,5,FALSE),VLOOKUP(A283,Monitoring!$B$25:$H$390,5,FALSE)),""))</f>
        <v/>
      </c>
      <c r="L283" s="256"/>
      <c r="M283" s="299" t="str">
        <f>IF($M$12="","",IFERROR(IF(Report!$D$4='!'!$HE$4,VLOOKUP(A283,Reference!$B$25:$H$390,6,FALSE),VLOOKUP(A283,Monitoring!$B$25:$H$390,6,FALSE)),""))</f>
        <v/>
      </c>
      <c r="N283" s="256"/>
      <c r="O283" s="299" t="str">
        <f>IF($O$12="","",IFERROR(IF(Report!$D$4='!'!$HE$4,VLOOKUP(A283,Reference!$B$25:$H$390,7,FALSE),VLOOKUP(A283,Monitoring!$B$25:$H$390,7,FALSE)),""))</f>
        <v/>
      </c>
      <c r="P283" s="51"/>
      <c r="Q283" s="151" t="str">
        <f>IF(B283='!'!$GJ$15,'!'!$GJ$15,$Q$12)</f>
        <v>N</v>
      </c>
      <c r="S283" s="4" t="str">
        <f>IFERROR(ABS(T283),'!'!$GJ$15)</f>
        <v>N</v>
      </c>
      <c r="T283" s="84" t="str">
        <f>IFERROR(+G283-D283,'!'!$GJ$15)</f>
        <v>N</v>
      </c>
      <c r="U283" s="64" t="str">
        <f t="shared" si="9"/>
        <v>N</v>
      </c>
      <c r="W283" s="153" t="str">
        <f>IFERROR(I$10*I283,'!'!$GJ$15)</f>
        <v>N</v>
      </c>
      <c r="X283" s="153" t="str">
        <f>IFERROR(K$10*K283,'!'!$GJ$15)</f>
        <v>N</v>
      </c>
      <c r="Y283" s="153" t="str">
        <f>IFERROR(M$10*M283,'!'!$GJ$15)</f>
        <v>N</v>
      </c>
      <c r="Z283" s="153" t="str">
        <f>IFERROR(O$10*O284,'!'!$GJ$15)</f>
        <v>N</v>
      </c>
    </row>
    <row r="284" spans="1:26" x14ac:dyDescent="0.35">
      <c r="A284" s="4">
        <f t="shared" si="8"/>
        <v>260</v>
      </c>
      <c r="B284" s="286" t="str">
        <f>IFERROR(IF(Report!$D$4='!'!$HE$4,VLOOKUP(A284,Reference!$B$25:$H$390,2,FALSE),VLOOKUP(A284,Monitoring!$B$25:$H$390,2,FALSE)),'!'!$GJ$15)</f>
        <v>N</v>
      </c>
      <c r="C284" s="58" t="str">
        <f>Reference!A284</f>
        <v/>
      </c>
      <c r="D284" s="287" t="str">
        <f>IFERROR(IF(Report!$D$4='!'!$HE$4,VLOOKUP(A284,Reference!$B$25:$H$390,3,FALSE),VLOOKUP(A284,Monitoring!$B$25:$H$390,3,FALSE)),'!'!$GJ$15)</f>
        <v>N</v>
      </c>
      <c r="E284" s="285"/>
      <c r="F284" s="254"/>
      <c r="G284" s="151" t="str">
        <f>IF(D284='!'!$GJ$15,'!'!$GJ$15,(SUM(W284,X284,Y284,Z283,Q284)))</f>
        <v>N</v>
      </c>
      <c r="H284" s="51"/>
      <c r="I284" s="299" t="str">
        <f>IF($I$12="","",IFERROR(IF(Report!$D$4='!'!$HE$4,VLOOKUP(A284,Reference!$B$25:$H$390,4,FALSE),VLOOKUP(A284,Monitoring!$B$25:$H$390,4,FALSE)),""))</f>
        <v/>
      </c>
      <c r="J284" s="256"/>
      <c r="K284" s="299" t="str">
        <f>IF($K$12="","",IFERROR(IF(Report!$D$4='!'!$HE$4,VLOOKUP(A284,Reference!$B$25:$H$390,5,FALSE),VLOOKUP(A284,Monitoring!$B$25:$H$390,5,FALSE)),""))</f>
        <v/>
      </c>
      <c r="L284" s="256"/>
      <c r="M284" s="299" t="str">
        <f>IF($M$12="","",IFERROR(IF(Report!$D$4='!'!$HE$4,VLOOKUP(A284,Reference!$B$25:$H$390,6,FALSE),VLOOKUP(A284,Monitoring!$B$25:$H$390,6,FALSE)),""))</f>
        <v/>
      </c>
      <c r="N284" s="256"/>
      <c r="O284" s="299" t="str">
        <f>IF($O$12="","",IFERROR(IF(Report!$D$4='!'!$HE$4,VLOOKUP(A284,Reference!$B$25:$H$390,7,FALSE),VLOOKUP(A284,Monitoring!$B$25:$H$390,7,FALSE)),""))</f>
        <v/>
      </c>
      <c r="P284" s="51"/>
      <c r="Q284" s="151" t="str">
        <f>IF(B284='!'!$GJ$15,'!'!$GJ$15,$Q$12)</f>
        <v>N</v>
      </c>
      <c r="S284" s="4" t="str">
        <f>IFERROR(ABS(T284),'!'!$GJ$15)</f>
        <v>N</v>
      </c>
      <c r="T284" s="84" t="str">
        <f>IFERROR(+G284-D284,'!'!$GJ$15)</f>
        <v>N</v>
      </c>
      <c r="U284" s="64" t="str">
        <f t="shared" si="9"/>
        <v>N</v>
      </c>
      <c r="W284" s="153" t="str">
        <f>IFERROR(I$10*I284,'!'!$GJ$15)</f>
        <v>N</v>
      </c>
      <c r="X284" s="153" t="str">
        <f>IFERROR(K$10*K284,'!'!$GJ$15)</f>
        <v>N</v>
      </c>
      <c r="Y284" s="153" t="str">
        <f>IFERROR(M$10*M284,'!'!$GJ$15)</f>
        <v>N</v>
      </c>
      <c r="Z284" s="153" t="str">
        <f>IFERROR(O$10*O285,'!'!$GJ$15)</f>
        <v>N</v>
      </c>
    </row>
    <row r="285" spans="1:26" x14ac:dyDescent="0.35">
      <c r="A285" s="4">
        <f t="shared" si="8"/>
        <v>261</v>
      </c>
      <c r="B285" s="286" t="str">
        <f>IFERROR(IF(Report!$D$4='!'!$HE$4,VLOOKUP(A285,Reference!$B$25:$H$390,2,FALSE),VLOOKUP(A285,Monitoring!$B$25:$H$390,2,FALSE)),'!'!$GJ$15)</f>
        <v>N</v>
      </c>
      <c r="C285" s="58" t="str">
        <f>Reference!A285</f>
        <v/>
      </c>
      <c r="D285" s="287" t="str">
        <f>IFERROR(IF(Report!$D$4='!'!$HE$4,VLOOKUP(A285,Reference!$B$25:$H$390,3,FALSE),VLOOKUP(A285,Monitoring!$B$25:$H$390,3,FALSE)),'!'!$GJ$15)</f>
        <v>N</v>
      </c>
      <c r="E285" s="285"/>
      <c r="F285" s="254"/>
      <c r="G285" s="151" t="str">
        <f>IF(D285='!'!$GJ$15,'!'!$GJ$15,(SUM(W285,X285,Y285,Z284,Q285)))</f>
        <v>N</v>
      </c>
      <c r="H285" s="51"/>
      <c r="I285" s="299" t="str">
        <f>IF($I$12="","",IFERROR(IF(Report!$D$4='!'!$HE$4,VLOOKUP(A285,Reference!$B$25:$H$390,4,FALSE),VLOOKUP(A285,Monitoring!$B$25:$H$390,4,FALSE)),""))</f>
        <v/>
      </c>
      <c r="J285" s="256"/>
      <c r="K285" s="299" t="str">
        <f>IF($K$12="","",IFERROR(IF(Report!$D$4='!'!$HE$4,VLOOKUP(A285,Reference!$B$25:$H$390,5,FALSE),VLOOKUP(A285,Monitoring!$B$25:$H$390,5,FALSE)),""))</f>
        <v/>
      </c>
      <c r="L285" s="256"/>
      <c r="M285" s="299" t="str">
        <f>IF($M$12="","",IFERROR(IF(Report!$D$4='!'!$HE$4,VLOOKUP(A285,Reference!$B$25:$H$390,6,FALSE),VLOOKUP(A285,Monitoring!$B$25:$H$390,6,FALSE)),""))</f>
        <v/>
      </c>
      <c r="N285" s="256"/>
      <c r="O285" s="299" t="str">
        <f>IF($O$12="","",IFERROR(IF(Report!$D$4='!'!$HE$4,VLOOKUP(A285,Reference!$B$25:$H$390,7,FALSE),VLOOKUP(A285,Monitoring!$B$25:$H$390,7,FALSE)),""))</f>
        <v/>
      </c>
      <c r="P285" s="51"/>
      <c r="Q285" s="151" t="str">
        <f>IF(B285='!'!$GJ$15,'!'!$GJ$15,$Q$12)</f>
        <v>N</v>
      </c>
      <c r="S285" s="4" t="str">
        <f>IFERROR(ABS(T285),'!'!$GJ$15)</f>
        <v>N</v>
      </c>
      <c r="T285" s="84" t="str">
        <f>IFERROR(+G285-D285,'!'!$GJ$15)</f>
        <v>N</v>
      </c>
      <c r="U285" s="64" t="str">
        <f t="shared" si="9"/>
        <v>N</v>
      </c>
      <c r="W285" s="153" t="str">
        <f>IFERROR(I$10*I285,'!'!$GJ$15)</f>
        <v>N</v>
      </c>
      <c r="X285" s="153" t="str">
        <f>IFERROR(K$10*K285,'!'!$GJ$15)</f>
        <v>N</v>
      </c>
      <c r="Y285" s="153" t="str">
        <f>IFERROR(M$10*M285,'!'!$GJ$15)</f>
        <v>N</v>
      </c>
      <c r="Z285" s="153" t="str">
        <f>IFERROR(O$10*O286,'!'!$GJ$15)</f>
        <v>N</v>
      </c>
    </row>
    <row r="286" spans="1:26" x14ac:dyDescent="0.35">
      <c r="A286" s="4">
        <f t="shared" si="8"/>
        <v>262</v>
      </c>
      <c r="B286" s="286" t="str">
        <f>IFERROR(IF(Report!$D$4='!'!$HE$4,VLOOKUP(A286,Reference!$B$25:$H$390,2,FALSE),VLOOKUP(A286,Monitoring!$B$25:$H$390,2,FALSE)),'!'!$GJ$15)</f>
        <v>N</v>
      </c>
      <c r="C286" s="58" t="str">
        <f>Reference!A286</f>
        <v/>
      </c>
      <c r="D286" s="287" t="str">
        <f>IFERROR(IF(Report!$D$4='!'!$HE$4,VLOOKUP(A286,Reference!$B$25:$H$390,3,FALSE),VLOOKUP(A286,Monitoring!$B$25:$H$390,3,FALSE)),'!'!$GJ$15)</f>
        <v>N</v>
      </c>
      <c r="E286" s="285"/>
      <c r="F286" s="254"/>
      <c r="G286" s="151" t="str">
        <f>IF(D286='!'!$GJ$15,'!'!$GJ$15,(SUM(W286,X286,Y286,Z285,Q286)))</f>
        <v>N</v>
      </c>
      <c r="H286" s="51"/>
      <c r="I286" s="299" t="str">
        <f>IF($I$12="","",IFERROR(IF(Report!$D$4='!'!$HE$4,VLOOKUP(A286,Reference!$B$25:$H$390,4,FALSE),VLOOKUP(A286,Monitoring!$B$25:$H$390,4,FALSE)),""))</f>
        <v/>
      </c>
      <c r="J286" s="256"/>
      <c r="K286" s="299" t="str">
        <f>IF($K$12="","",IFERROR(IF(Report!$D$4='!'!$HE$4,VLOOKUP(A286,Reference!$B$25:$H$390,5,FALSE),VLOOKUP(A286,Monitoring!$B$25:$H$390,5,FALSE)),""))</f>
        <v/>
      </c>
      <c r="L286" s="256"/>
      <c r="M286" s="299" t="str">
        <f>IF($M$12="","",IFERROR(IF(Report!$D$4='!'!$HE$4,VLOOKUP(A286,Reference!$B$25:$H$390,6,FALSE),VLOOKUP(A286,Monitoring!$B$25:$H$390,6,FALSE)),""))</f>
        <v/>
      </c>
      <c r="N286" s="256"/>
      <c r="O286" s="299" t="str">
        <f>IF($O$12="","",IFERROR(IF(Report!$D$4='!'!$HE$4,VLOOKUP(A286,Reference!$B$25:$H$390,7,FALSE),VLOOKUP(A286,Monitoring!$B$25:$H$390,7,FALSE)),""))</f>
        <v/>
      </c>
      <c r="P286" s="51"/>
      <c r="Q286" s="151" t="str">
        <f>IF(B286='!'!$GJ$15,'!'!$GJ$15,$Q$12)</f>
        <v>N</v>
      </c>
      <c r="S286" s="4" t="str">
        <f>IFERROR(ABS(T286),'!'!$GJ$15)</f>
        <v>N</v>
      </c>
      <c r="T286" s="84" t="str">
        <f>IFERROR(+G286-D286,'!'!$GJ$15)</f>
        <v>N</v>
      </c>
      <c r="U286" s="64" t="str">
        <f t="shared" si="9"/>
        <v>N</v>
      </c>
      <c r="W286" s="153" t="str">
        <f>IFERROR(I$10*I286,'!'!$GJ$15)</f>
        <v>N</v>
      </c>
      <c r="X286" s="153" t="str">
        <f>IFERROR(K$10*K286,'!'!$GJ$15)</f>
        <v>N</v>
      </c>
      <c r="Y286" s="153" t="str">
        <f>IFERROR(M$10*M286,'!'!$GJ$15)</f>
        <v>N</v>
      </c>
      <c r="Z286" s="153" t="str">
        <f>IFERROR(O$10*O287,'!'!$GJ$15)</f>
        <v>N</v>
      </c>
    </row>
    <row r="287" spans="1:26" x14ac:dyDescent="0.35">
      <c r="A287" s="4">
        <f t="shared" si="8"/>
        <v>263</v>
      </c>
      <c r="B287" s="286" t="str">
        <f>IFERROR(IF(Report!$D$4='!'!$HE$4,VLOOKUP(A287,Reference!$B$25:$H$390,2,FALSE),VLOOKUP(A287,Monitoring!$B$25:$H$390,2,FALSE)),'!'!$GJ$15)</f>
        <v>N</v>
      </c>
      <c r="C287" s="58" t="str">
        <f>Reference!A287</f>
        <v/>
      </c>
      <c r="D287" s="287" t="str">
        <f>IFERROR(IF(Report!$D$4='!'!$HE$4,VLOOKUP(A287,Reference!$B$25:$H$390,3,FALSE),VLOOKUP(A287,Monitoring!$B$25:$H$390,3,FALSE)),'!'!$GJ$15)</f>
        <v>N</v>
      </c>
      <c r="E287" s="285"/>
      <c r="F287" s="254"/>
      <c r="G287" s="151" t="str">
        <f>IF(D287='!'!$GJ$15,'!'!$GJ$15,(SUM(W287,X287,Y287,Z286,Q287)))</f>
        <v>N</v>
      </c>
      <c r="H287" s="51"/>
      <c r="I287" s="299" t="str">
        <f>IF($I$12="","",IFERROR(IF(Report!$D$4='!'!$HE$4,VLOOKUP(A287,Reference!$B$25:$H$390,4,FALSE),VLOOKUP(A287,Monitoring!$B$25:$H$390,4,FALSE)),""))</f>
        <v/>
      </c>
      <c r="J287" s="256"/>
      <c r="K287" s="299" t="str">
        <f>IF($K$12="","",IFERROR(IF(Report!$D$4='!'!$HE$4,VLOOKUP(A287,Reference!$B$25:$H$390,5,FALSE),VLOOKUP(A287,Monitoring!$B$25:$H$390,5,FALSE)),""))</f>
        <v/>
      </c>
      <c r="L287" s="256"/>
      <c r="M287" s="299" t="str">
        <f>IF($M$12="","",IFERROR(IF(Report!$D$4='!'!$HE$4,VLOOKUP(A287,Reference!$B$25:$H$390,6,FALSE),VLOOKUP(A287,Monitoring!$B$25:$H$390,6,FALSE)),""))</f>
        <v/>
      </c>
      <c r="N287" s="256"/>
      <c r="O287" s="299" t="str">
        <f>IF($O$12="","",IFERROR(IF(Report!$D$4='!'!$HE$4,VLOOKUP(A287,Reference!$B$25:$H$390,7,FALSE),VLOOKUP(A287,Monitoring!$B$25:$H$390,7,FALSE)),""))</f>
        <v/>
      </c>
      <c r="P287" s="51"/>
      <c r="Q287" s="151" t="str">
        <f>IF(B287='!'!$GJ$15,'!'!$GJ$15,$Q$12)</f>
        <v>N</v>
      </c>
      <c r="S287" s="4" t="str">
        <f>IFERROR(ABS(T287),'!'!$GJ$15)</f>
        <v>N</v>
      </c>
      <c r="T287" s="84" t="str">
        <f>IFERROR(+G287-D287,'!'!$GJ$15)</f>
        <v>N</v>
      </c>
      <c r="U287" s="64" t="str">
        <f t="shared" si="9"/>
        <v>N</v>
      </c>
      <c r="W287" s="153" t="str">
        <f>IFERROR(I$10*I287,'!'!$GJ$15)</f>
        <v>N</v>
      </c>
      <c r="X287" s="153" t="str">
        <f>IFERROR(K$10*K287,'!'!$GJ$15)</f>
        <v>N</v>
      </c>
      <c r="Y287" s="153" t="str">
        <f>IFERROR(M$10*M287,'!'!$GJ$15)</f>
        <v>N</v>
      </c>
      <c r="Z287" s="153" t="str">
        <f>IFERROR(O$10*O288,'!'!$GJ$15)</f>
        <v>N</v>
      </c>
    </row>
    <row r="288" spans="1:26" x14ac:dyDescent="0.35">
      <c r="A288" s="4">
        <f t="shared" si="8"/>
        <v>264</v>
      </c>
      <c r="B288" s="286" t="str">
        <f>IFERROR(IF(Report!$D$4='!'!$HE$4,VLOOKUP(A288,Reference!$B$25:$H$390,2,FALSE),VLOOKUP(A288,Monitoring!$B$25:$H$390,2,FALSE)),'!'!$GJ$15)</f>
        <v>N</v>
      </c>
      <c r="C288" s="58" t="str">
        <f>Reference!A288</f>
        <v/>
      </c>
      <c r="D288" s="287" t="str">
        <f>IFERROR(IF(Report!$D$4='!'!$HE$4,VLOOKUP(A288,Reference!$B$25:$H$390,3,FALSE),VLOOKUP(A288,Monitoring!$B$25:$H$390,3,FALSE)),'!'!$GJ$15)</f>
        <v>N</v>
      </c>
      <c r="E288" s="285"/>
      <c r="F288" s="254"/>
      <c r="G288" s="151" t="str">
        <f>IF(D288='!'!$GJ$15,'!'!$GJ$15,(SUM(W288,X288,Y288,Z287,Q288)))</f>
        <v>N</v>
      </c>
      <c r="H288" s="51"/>
      <c r="I288" s="299" t="str">
        <f>IF($I$12="","",IFERROR(IF(Report!$D$4='!'!$HE$4,VLOOKUP(A288,Reference!$B$25:$H$390,4,FALSE),VLOOKUP(A288,Monitoring!$B$25:$H$390,4,FALSE)),""))</f>
        <v/>
      </c>
      <c r="J288" s="256"/>
      <c r="K288" s="299" t="str">
        <f>IF($K$12="","",IFERROR(IF(Report!$D$4='!'!$HE$4,VLOOKUP(A288,Reference!$B$25:$H$390,5,FALSE),VLOOKUP(A288,Monitoring!$B$25:$H$390,5,FALSE)),""))</f>
        <v/>
      </c>
      <c r="L288" s="256"/>
      <c r="M288" s="299" t="str">
        <f>IF($M$12="","",IFERROR(IF(Report!$D$4='!'!$HE$4,VLOOKUP(A288,Reference!$B$25:$H$390,6,FALSE),VLOOKUP(A288,Monitoring!$B$25:$H$390,6,FALSE)),""))</f>
        <v/>
      </c>
      <c r="N288" s="256"/>
      <c r="O288" s="299" t="str">
        <f>IF($O$12="","",IFERROR(IF(Report!$D$4='!'!$HE$4,VLOOKUP(A288,Reference!$B$25:$H$390,7,FALSE),VLOOKUP(A288,Monitoring!$B$25:$H$390,7,FALSE)),""))</f>
        <v/>
      </c>
      <c r="P288" s="51"/>
      <c r="Q288" s="151" t="str">
        <f>IF(B288='!'!$GJ$15,'!'!$GJ$15,$Q$12)</f>
        <v>N</v>
      </c>
      <c r="S288" s="4" t="str">
        <f>IFERROR(ABS(T288),'!'!$GJ$15)</f>
        <v>N</v>
      </c>
      <c r="T288" s="84" t="str">
        <f>IFERROR(+G288-D288,'!'!$GJ$15)</f>
        <v>N</v>
      </c>
      <c r="U288" s="64" t="str">
        <f t="shared" si="9"/>
        <v>N</v>
      </c>
      <c r="W288" s="153" t="str">
        <f>IFERROR(I$10*I288,'!'!$GJ$15)</f>
        <v>N</v>
      </c>
      <c r="X288" s="153" t="str">
        <f>IFERROR(K$10*K288,'!'!$GJ$15)</f>
        <v>N</v>
      </c>
      <c r="Y288" s="153" t="str">
        <f>IFERROR(M$10*M288,'!'!$GJ$15)</f>
        <v>N</v>
      </c>
      <c r="Z288" s="153" t="str">
        <f>IFERROR(O$10*O289,'!'!$GJ$15)</f>
        <v>N</v>
      </c>
    </row>
    <row r="289" spans="1:26" x14ac:dyDescent="0.35">
      <c r="A289" s="4">
        <f t="shared" si="8"/>
        <v>265</v>
      </c>
      <c r="B289" s="286" t="str">
        <f>IFERROR(IF(Report!$D$4='!'!$HE$4,VLOOKUP(A289,Reference!$B$25:$H$390,2,FALSE),VLOOKUP(A289,Monitoring!$B$25:$H$390,2,FALSE)),'!'!$GJ$15)</f>
        <v>N</v>
      </c>
      <c r="C289" s="58" t="str">
        <f>Reference!A289</f>
        <v/>
      </c>
      <c r="D289" s="287" t="str">
        <f>IFERROR(IF(Report!$D$4='!'!$HE$4,VLOOKUP(A289,Reference!$B$25:$H$390,3,FALSE),VLOOKUP(A289,Monitoring!$B$25:$H$390,3,FALSE)),'!'!$GJ$15)</f>
        <v>N</v>
      </c>
      <c r="E289" s="285"/>
      <c r="F289" s="254"/>
      <c r="G289" s="151" t="str">
        <f>IF(D289='!'!$GJ$15,'!'!$GJ$15,(SUM(W289,X289,Y289,Z288,Q289)))</f>
        <v>N</v>
      </c>
      <c r="H289" s="51"/>
      <c r="I289" s="299" t="str">
        <f>IF($I$12="","",IFERROR(IF(Report!$D$4='!'!$HE$4,VLOOKUP(A289,Reference!$B$25:$H$390,4,FALSE),VLOOKUP(A289,Monitoring!$B$25:$H$390,4,FALSE)),""))</f>
        <v/>
      </c>
      <c r="J289" s="256"/>
      <c r="K289" s="299" t="str">
        <f>IF($K$12="","",IFERROR(IF(Report!$D$4='!'!$HE$4,VLOOKUP(A289,Reference!$B$25:$H$390,5,FALSE),VLOOKUP(A289,Monitoring!$B$25:$H$390,5,FALSE)),""))</f>
        <v/>
      </c>
      <c r="L289" s="256"/>
      <c r="M289" s="299" t="str">
        <f>IF($M$12="","",IFERROR(IF(Report!$D$4='!'!$HE$4,VLOOKUP(A289,Reference!$B$25:$H$390,6,FALSE),VLOOKUP(A289,Monitoring!$B$25:$H$390,6,FALSE)),""))</f>
        <v/>
      </c>
      <c r="N289" s="256"/>
      <c r="O289" s="299" t="str">
        <f>IF($O$12="","",IFERROR(IF(Report!$D$4='!'!$HE$4,VLOOKUP(A289,Reference!$B$25:$H$390,7,FALSE),VLOOKUP(A289,Monitoring!$B$25:$H$390,7,FALSE)),""))</f>
        <v/>
      </c>
      <c r="P289" s="51"/>
      <c r="Q289" s="151" t="str">
        <f>IF(B289='!'!$GJ$15,'!'!$GJ$15,$Q$12)</f>
        <v>N</v>
      </c>
      <c r="S289" s="4" t="str">
        <f>IFERROR(ABS(T289),'!'!$GJ$15)</f>
        <v>N</v>
      </c>
      <c r="T289" s="84" t="str">
        <f>IFERROR(+G289-D289,'!'!$GJ$15)</f>
        <v>N</v>
      </c>
      <c r="U289" s="64" t="str">
        <f t="shared" si="9"/>
        <v>N</v>
      </c>
      <c r="W289" s="153" t="str">
        <f>IFERROR(I$10*I289,'!'!$GJ$15)</f>
        <v>N</v>
      </c>
      <c r="X289" s="153" t="str">
        <f>IFERROR(K$10*K289,'!'!$GJ$15)</f>
        <v>N</v>
      </c>
      <c r="Y289" s="153" t="str">
        <f>IFERROR(M$10*M289,'!'!$GJ$15)</f>
        <v>N</v>
      </c>
      <c r="Z289" s="153" t="str">
        <f>IFERROR(O$10*O290,'!'!$GJ$15)</f>
        <v>N</v>
      </c>
    </row>
    <row r="290" spans="1:26" x14ac:dyDescent="0.35">
      <c r="A290" s="4">
        <f t="shared" si="8"/>
        <v>266</v>
      </c>
      <c r="B290" s="286" t="str">
        <f>IFERROR(IF(Report!$D$4='!'!$HE$4,VLOOKUP(A290,Reference!$B$25:$H$390,2,FALSE),VLOOKUP(A290,Monitoring!$B$25:$H$390,2,FALSE)),'!'!$GJ$15)</f>
        <v>N</v>
      </c>
      <c r="C290" s="58" t="str">
        <f>Reference!A290</f>
        <v/>
      </c>
      <c r="D290" s="287" t="str">
        <f>IFERROR(IF(Report!$D$4='!'!$HE$4,VLOOKUP(A290,Reference!$B$25:$H$390,3,FALSE),VLOOKUP(A290,Monitoring!$B$25:$H$390,3,FALSE)),'!'!$GJ$15)</f>
        <v>N</v>
      </c>
      <c r="E290" s="285"/>
      <c r="F290" s="254"/>
      <c r="G290" s="151" t="str">
        <f>IF(D290='!'!$GJ$15,'!'!$GJ$15,(SUM(W290,X290,Y290,Z289,Q290)))</f>
        <v>N</v>
      </c>
      <c r="H290" s="51"/>
      <c r="I290" s="299" t="str">
        <f>IF($I$12="","",IFERROR(IF(Report!$D$4='!'!$HE$4,VLOOKUP(A290,Reference!$B$25:$H$390,4,FALSE),VLOOKUP(A290,Monitoring!$B$25:$H$390,4,FALSE)),""))</f>
        <v/>
      </c>
      <c r="J290" s="256"/>
      <c r="K290" s="299" t="str">
        <f>IF($K$12="","",IFERROR(IF(Report!$D$4='!'!$HE$4,VLOOKUP(A290,Reference!$B$25:$H$390,5,FALSE),VLOOKUP(A290,Monitoring!$B$25:$H$390,5,FALSE)),""))</f>
        <v/>
      </c>
      <c r="L290" s="256"/>
      <c r="M290" s="299" t="str">
        <f>IF($M$12="","",IFERROR(IF(Report!$D$4='!'!$HE$4,VLOOKUP(A290,Reference!$B$25:$H$390,6,FALSE),VLOOKUP(A290,Monitoring!$B$25:$H$390,6,FALSE)),""))</f>
        <v/>
      </c>
      <c r="N290" s="256"/>
      <c r="O290" s="299" t="str">
        <f>IF($O$12="","",IFERROR(IF(Report!$D$4='!'!$HE$4,VLOOKUP(A290,Reference!$B$25:$H$390,7,FALSE),VLOOKUP(A290,Monitoring!$B$25:$H$390,7,FALSE)),""))</f>
        <v/>
      </c>
      <c r="P290" s="51"/>
      <c r="Q290" s="151" t="str">
        <f>IF(B290='!'!$GJ$15,'!'!$GJ$15,$Q$12)</f>
        <v>N</v>
      </c>
      <c r="S290" s="4" t="str">
        <f>IFERROR(ABS(T290),'!'!$GJ$15)</f>
        <v>N</v>
      </c>
      <c r="T290" s="84" t="str">
        <f>IFERROR(+G290-D290,'!'!$GJ$15)</f>
        <v>N</v>
      </c>
      <c r="U290" s="64" t="str">
        <f t="shared" si="9"/>
        <v>N</v>
      </c>
      <c r="W290" s="153" t="str">
        <f>IFERROR(I$10*I290,'!'!$GJ$15)</f>
        <v>N</v>
      </c>
      <c r="X290" s="153" t="str">
        <f>IFERROR(K$10*K290,'!'!$GJ$15)</f>
        <v>N</v>
      </c>
      <c r="Y290" s="153" t="str">
        <f>IFERROR(M$10*M290,'!'!$GJ$15)</f>
        <v>N</v>
      </c>
      <c r="Z290" s="153" t="str">
        <f>IFERROR(O$10*O291,'!'!$GJ$15)</f>
        <v>N</v>
      </c>
    </row>
    <row r="291" spans="1:26" x14ac:dyDescent="0.35">
      <c r="A291" s="4">
        <f t="shared" si="8"/>
        <v>267</v>
      </c>
      <c r="B291" s="286" t="str">
        <f>IFERROR(IF(Report!$D$4='!'!$HE$4,VLOOKUP(A291,Reference!$B$25:$H$390,2,FALSE),VLOOKUP(A291,Monitoring!$B$25:$H$390,2,FALSE)),'!'!$GJ$15)</f>
        <v>N</v>
      </c>
      <c r="C291" s="58" t="str">
        <f>Reference!A291</f>
        <v/>
      </c>
      <c r="D291" s="287" t="str">
        <f>IFERROR(IF(Report!$D$4='!'!$HE$4,VLOOKUP(A291,Reference!$B$25:$H$390,3,FALSE),VLOOKUP(A291,Monitoring!$B$25:$H$390,3,FALSE)),'!'!$GJ$15)</f>
        <v>N</v>
      </c>
      <c r="E291" s="285"/>
      <c r="F291" s="254"/>
      <c r="G291" s="151" t="str">
        <f>IF(D291='!'!$GJ$15,'!'!$GJ$15,(SUM(W291,X291,Y291,Z290,Q291)))</f>
        <v>N</v>
      </c>
      <c r="H291" s="51"/>
      <c r="I291" s="299" t="str">
        <f>IF($I$12="","",IFERROR(IF(Report!$D$4='!'!$HE$4,VLOOKUP(A291,Reference!$B$25:$H$390,4,FALSE),VLOOKUP(A291,Monitoring!$B$25:$H$390,4,FALSE)),""))</f>
        <v/>
      </c>
      <c r="J291" s="256"/>
      <c r="K291" s="299" t="str">
        <f>IF($K$12="","",IFERROR(IF(Report!$D$4='!'!$HE$4,VLOOKUP(A291,Reference!$B$25:$H$390,5,FALSE),VLOOKUP(A291,Monitoring!$B$25:$H$390,5,FALSE)),""))</f>
        <v/>
      </c>
      <c r="L291" s="256"/>
      <c r="M291" s="299" t="str">
        <f>IF($M$12="","",IFERROR(IF(Report!$D$4='!'!$HE$4,VLOOKUP(A291,Reference!$B$25:$H$390,6,FALSE),VLOOKUP(A291,Monitoring!$B$25:$H$390,6,FALSE)),""))</f>
        <v/>
      </c>
      <c r="N291" s="256"/>
      <c r="O291" s="299" t="str">
        <f>IF($O$12="","",IFERROR(IF(Report!$D$4='!'!$HE$4,VLOOKUP(A291,Reference!$B$25:$H$390,7,FALSE),VLOOKUP(A291,Monitoring!$B$25:$H$390,7,FALSE)),""))</f>
        <v/>
      </c>
      <c r="P291" s="51"/>
      <c r="Q291" s="151" t="str">
        <f>IF(B291='!'!$GJ$15,'!'!$GJ$15,$Q$12)</f>
        <v>N</v>
      </c>
      <c r="S291" s="4" t="str">
        <f>IFERROR(ABS(T291),'!'!$GJ$15)</f>
        <v>N</v>
      </c>
      <c r="T291" s="84" t="str">
        <f>IFERROR(+G291-D291,'!'!$GJ$15)</f>
        <v>N</v>
      </c>
      <c r="U291" s="64" t="str">
        <f t="shared" si="9"/>
        <v>N</v>
      </c>
      <c r="W291" s="153" t="str">
        <f>IFERROR(I$10*I291,'!'!$GJ$15)</f>
        <v>N</v>
      </c>
      <c r="X291" s="153" t="str">
        <f>IFERROR(K$10*K291,'!'!$GJ$15)</f>
        <v>N</v>
      </c>
      <c r="Y291" s="153" t="str">
        <f>IFERROR(M$10*M291,'!'!$GJ$15)</f>
        <v>N</v>
      </c>
      <c r="Z291" s="153" t="str">
        <f>IFERROR(O$10*O292,'!'!$GJ$15)</f>
        <v>N</v>
      </c>
    </row>
    <row r="292" spans="1:26" x14ac:dyDescent="0.35">
      <c r="A292" s="4">
        <f t="shared" si="8"/>
        <v>268</v>
      </c>
      <c r="B292" s="286" t="str">
        <f>IFERROR(IF(Report!$D$4='!'!$HE$4,VLOOKUP(A292,Reference!$B$25:$H$390,2,FALSE),VLOOKUP(A292,Monitoring!$B$25:$H$390,2,FALSE)),'!'!$GJ$15)</f>
        <v>N</v>
      </c>
      <c r="C292" s="58" t="str">
        <f>Reference!A292</f>
        <v/>
      </c>
      <c r="D292" s="287" t="str">
        <f>IFERROR(IF(Report!$D$4='!'!$HE$4,VLOOKUP(A292,Reference!$B$25:$H$390,3,FALSE),VLOOKUP(A292,Monitoring!$B$25:$H$390,3,FALSE)),'!'!$GJ$15)</f>
        <v>N</v>
      </c>
      <c r="E292" s="285"/>
      <c r="F292" s="254"/>
      <c r="G292" s="151" t="str">
        <f>IF(D292='!'!$GJ$15,'!'!$GJ$15,(SUM(W292,X292,Y292,Z291,Q292)))</f>
        <v>N</v>
      </c>
      <c r="H292" s="51"/>
      <c r="I292" s="299" t="str">
        <f>IF($I$12="","",IFERROR(IF(Report!$D$4='!'!$HE$4,VLOOKUP(A292,Reference!$B$25:$H$390,4,FALSE),VLOOKUP(A292,Monitoring!$B$25:$H$390,4,FALSE)),""))</f>
        <v/>
      </c>
      <c r="J292" s="256"/>
      <c r="K292" s="299" t="str">
        <f>IF($K$12="","",IFERROR(IF(Report!$D$4='!'!$HE$4,VLOOKUP(A292,Reference!$B$25:$H$390,5,FALSE),VLOOKUP(A292,Monitoring!$B$25:$H$390,5,FALSE)),""))</f>
        <v/>
      </c>
      <c r="L292" s="256"/>
      <c r="M292" s="299" t="str">
        <f>IF($M$12="","",IFERROR(IF(Report!$D$4='!'!$HE$4,VLOOKUP(A292,Reference!$B$25:$H$390,6,FALSE),VLOOKUP(A292,Monitoring!$B$25:$H$390,6,FALSE)),""))</f>
        <v/>
      </c>
      <c r="N292" s="256"/>
      <c r="O292" s="299" t="str">
        <f>IF($O$12="","",IFERROR(IF(Report!$D$4='!'!$HE$4,VLOOKUP(A292,Reference!$B$25:$H$390,7,FALSE),VLOOKUP(A292,Monitoring!$B$25:$H$390,7,FALSE)),""))</f>
        <v/>
      </c>
      <c r="P292" s="51"/>
      <c r="Q292" s="151" t="str">
        <f>IF(B292='!'!$GJ$15,'!'!$GJ$15,$Q$12)</f>
        <v>N</v>
      </c>
      <c r="S292" s="4" t="str">
        <f>IFERROR(ABS(T292),'!'!$GJ$15)</f>
        <v>N</v>
      </c>
      <c r="T292" s="84" t="str">
        <f>IFERROR(+G292-D292,'!'!$GJ$15)</f>
        <v>N</v>
      </c>
      <c r="U292" s="64" t="str">
        <f t="shared" si="9"/>
        <v>N</v>
      </c>
      <c r="W292" s="153" t="str">
        <f>IFERROR(I$10*I292,'!'!$GJ$15)</f>
        <v>N</v>
      </c>
      <c r="X292" s="153" t="str">
        <f>IFERROR(K$10*K292,'!'!$GJ$15)</f>
        <v>N</v>
      </c>
      <c r="Y292" s="153" t="str">
        <f>IFERROR(M$10*M292,'!'!$GJ$15)</f>
        <v>N</v>
      </c>
      <c r="Z292" s="153" t="str">
        <f>IFERROR(O$10*O293,'!'!$GJ$15)</f>
        <v>N</v>
      </c>
    </row>
    <row r="293" spans="1:26" x14ac:dyDescent="0.35">
      <c r="A293" s="4">
        <f t="shared" si="8"/>
        <v>269</v>
      </c>
      <c r="B293" s="286" t="str">
        <f>IFERROR(IF(Report!$D$4='!'!$HE$4,VLOOKUP(A293,Reference!$B$25:$H$390,2,FALSE),VLOOKUP(A293,Monitoring!$B$25:$H$390,2,FALSE)),'!'!$GJ$15)</f>
        <v>N</v>
      </c>
      <c r="C293" s="58" t="str">
        <f>Reference!A293</f>
        <v/>
      </c>
      <c r="D293" s="287" t="str">
        <f>IFERROR(IF(Report!$D$4='!'!$HE$4,VLOOKUP(A293,Reference!$B$25:$H$390,3,FALSE),VLOOKUP(A293,Monitoring!$B$25:$H$390,3,FALSE)),'!'!$GJ$15)</f>
        <v>N</v>
      </c>
      <c r="E293" s="285"/>
      <c r="F293" s="254"/>
      <c r="G293" s="151" t="str">
        <f>IF(D293='!'!$GJ$15,'!'!$GJ$15,(SUM(W293,X293,Y293,Z292,Q293)))</f>
        <v>N</v>
      </c>
      <c r="H293" s="51"/>
      <c r="I293" s="299" t="str">
        <f>IF($I$12="","",IFERROR(IF(Report!$D$4='!'!$HE$4,VLOOKUP(A293,Reference!$B$25:$H$390,4,FALSE),VLOOKUP(A293,Monitoring!$B$25:$H$390,4,FALSE)),""))</f>
        <v/>
      </c>
      <c r="J293" s="256"/>
      <c r="K293" s="299" t="str">
        <f>IF($K$12="","",IFERROR(IF(Report!$D$4='!'!$HE$4,VLOOKUP(A293,Reference!$B$25:$H$390,5,FALSE),VLOOKUP(A293,Monitoring!$B$25:$H$390,5,FALSE)),""))</f>
        <v/>
      </c>
      <c r="L293" s="256"/>
      <c r="M293" s="299" t="str">
        <f>IF($M$12="","",IFERROR(IF(Report!$D$4='!'!$HE$4,VLOOKUP(A293,Reference!$B$25:$H$390,6,FALSE),VLOOKUP(A293,Monitoring!$B$25:$H$390,6,FALSE)),""))</f>
        <v/>
      </c>
      <c r="N293" s="256"/>
      <c r="O293" s="299" t="str">
        <f>IF($O$12="","",IFERROR(IF(Report!$D$4='!'!$HE$4,VLOOKUP(A293,Reference!$B$25:$H$390,7,FALSE),VLOOKUP(A293,Monitoring!$B$25:$H$390,7,FALSE)),""))</f>
        <v/>
      </c>
      <c r="P293" s="51"/>
      <c r="Q293" s="151" t="str">
        <f>IF(B293='!'!$GJ$15,'!'!$GJ$15,$Q$12)</f>
        <v>N</v>
      </c>
      <c r="S293" s="4" t="str">
        <f>IFERROR(ABS(T293),'!'!$GJ$15)</f>
        <v>N</v>
      </c>
      <c r="T293" s="84" t="str">
        <f>IFERROR(+G293-D293,'!'!$GJ$15)</f>
        <v>N</v>
      </c>
      <c r="U293" s="64" t="str">
        <f t="shared" si="9"/>
        <v>N</v>
      </c>
      <c r="W293" s="153" t="str">
        <f>IFERROR(I$10*I293,'!'!$GJ$15)</f>
        <v>N</v>
      </c>
      <c r="X293" s="153" t="str">
        <f>IFERROR(K$10*K293,'!'!$GJ$15)</f>
        <v>N</v>
      </c>
      <c r="Y293" s="153" t="str">
        <f>IFERROR(M$10*M293,'!'!$GJ$15)</f>
        <v>N</v>
      </c>
      <c r="Z293" s="153" t="str">
        <f>IFERROR(O$10*O294,'!'!$GJ$15)</f>
        <v>N</v>
      </c>
    </row>
    <row r="294" spans="1:26" x14ac:dyDescent="0.35">
      <c r="A294" s="4">
        <f t="shared" si="8"/>
        <v>270</v>
      </c>
      <c r="B294" s="286" t="str">
        <f>IFERROR(IF(Report!$D$4='!'!$HE$4,VLOOKUP(A294,Reference!$B$25:$H$390,2,FALSE),VLOOKUP(A294,Monitoring!$B$25:$H$390,2,FALSE)),'!'!$GJ$15)</f>
        <v>N</v>
      </c>
      <c r="C294" s="58" t="str">
        <f>Reference!A294</f>
        <v/>
      </c>
      <c r="D294" s="287" t="str">
        <f>IFERROR(IF(Report!$D$4='!'!$HE$4,VLOOKUP(A294,Reference!$B$25:$H$390,3,FALSE),VLOOKUP(A294,Monitoring!$B$25:$H$390,3,FALSE)),'!'!$GJ$15)</f>
        <v>N</v>
      </c>
      <c r="E294" s="285"/>
      <c r="F294" s="254"/>
      <c r="G294" s="151" t="str">
        <f>IF(D294='!'!$GJ$15,'!'!$GJ$15,(SUM(W294,X294,Y294,Z293,Q294)))</f>
        <v>N</v>
      </c>
      <c r="H294" s="51"/>
      <c r="I294" s="299" t="str">
        <f>IF($I$12="","",IFERROR(IF(Report!$D$4='!'!$HE$4,VLOOKUP(A294,Reference!$B$25:$H$390,4,FALSE),VLOOKUP(A294,Monitoring!$B$25:$H$390,4,FALSE)),""))</f>
        <v/>
      </c>
      <c r="J294" s="256"/>
      <c r="K294" s="299" t="str">
        <f>IF($K$12="","",IFERROR(IF(Report!$D$4='!'!$HE$4,VLOOKUP(A294,Reference!$B$25:$H$390,5,FALSE),VLOOKUP(A294,Monitoring!$B$25:$H$390,5,FALSE)),""))</f>
        <v/>
      </c>
      <c r="L294" s="256"/>
      <c r="M294" s="299" t="str">
        <f>IF($M$12="","",IFERROR(IF(Report!$D$4='!'!$HE$4,VLOOKUP(A294,Reference!$B$25:$H$390,6,FALSE),VLOOKUP(A294,Monitoring!$B$25:$H$390,6,FALSE)),""))</f>
        <v/>
      </c>
      <c r="N294" s="256"/>
      <c r="O294" s="299" t="str">
        <f>IF($O$12="","",IFERROR(IF(Report!$D$4='!'!$HE$4,VLOOKUP(A294,Reference!$B$25:$H$390,7,FALSE),VLOOKUP(A294,Monitoring!$B$25:$H$390,7,FALSE)),""))</f>
        <v/>
      </c>
      <c r="P294" s="51"/>
      <c r="Q294" s="151" t="str">
        <f>IF(B294='!'!$GJ$15,'!'!$GJ$15,$Q$12)</f>
        <v>N</v>
      </c>
      <c r="S294" s="4" t="str">
        <f>IFERROR(ABS(T294),'!'!$GJ$15)</f>
        <v>N</v>
      </c>
      <c r="T294" s="84" t="str">
        <f>IFERROR(+G294-D294,'!'!$GJ$15)</f>
        <v>N</v>
      </c>
      <c r="U294" s="64" t="str">
        <f t="shared" si="9"/>
        <v>N</v>
      </c>
      <c r="W294" s="153" t="str">
        <f>IFERROR(I$10*I294,'!'!$GJ$15)</f>
        <v>N</v>
      </c>
      <c r="X294" s="153" t="str">
        <f>IFERROR(K$10*K294,'!'!$GJ$15)</f>
        <v>N</v>
      </c>
      <c r="Y294" s="153" t="str">
        <f>IFERROR(M$10*M294,'!'!$GJ$15)</f>
        <v>N</v>
      </c>
      <c r="Z294" s="153" t="str">
        <f>IFERROR(O$10*O295,'!'!$GJ$15)</f>
        <v>N</v>
      </c>
    </row>
    <row r="295" spans="1:26" x14ac:dyDescent="0.35">
      <c r="A295" s="4">
        <f t="shared" si="8"/>
        <v>271</v>
      </c>
      <c r="B295" s="286" t="str">
        <f>IFERROR(IF(Report!$D$4='!'!$HE$4,VLOOKUP(A295,Reference!$B$25:$H$390,2,FALSE),VLOOKUP(A295,Monitoring!$B$25:$H$390,2,FALSE)),'!'!$GJ$15)</f>
        <v>N</v>
      </c>
      <c r="C295" s="58" t="str">
        <f>Reference!A295</f>
        <v/>
      </c>
      <c r="D295" s="287" t="str">
        <f>IFERROR(IF(Report!$D$4='!'!$HE$4,VLOOKUP(A295,Reference!$B$25:$H$390,3,FALSE),VLOOKUP(A295,Monitoring!$B$25:$H$390,3,FALSE)),'!'!$GJ$15)</f>
        <v>N</v>
      </c>
      <c r="E295" s="285"/>
      <c r="F295" s="254"/>
      <c r="G295" s="151" t="str">
        <f>IF(D295='!'!$GJ$15,'!'!$GJ$15,(SUM(W295,X295,Y295,Z294,Q295)))</f>
        <v>N</v>
      </c>
      <c r="H295" s="51"/>
      <c r="I295" s="299" t="str">
        <f>IF($I$12="","",IFERROR(IF(Report!$D$4='!'!$HE$4,VLOOKUP(A295,Reference!$B$25:$H$390,4,FALSE),VLOOKUP(A295,Monitoring!$B$25:$H$390,4,FALSE)),""))</f>
        <v/>
      </c>
      <c r="J295" s="256"/>
      <c r="K295" s="299" t="str">
        <f>IF($K$12="","",IFERROR(IF(Report!$D$4='!'!$HE$4,VLOOKUP(A295,Reference!$B$25:$H$390,5,FALSE),VLOOKUP(A295,Monitoring!$B$25:$H$390,5,FALSE)),""))</f>
        <v/>
      </c>
      <c r="L295" s="256"/>
      <c r="M295" s="299" t="str">
        <f>IF($M$12="","",IFERROR(IF(Report!$D$4='!'!$HE$4,VLOOKUP(A295,Reference!$B$25:$H$390,6,FALSE),VLOOKUP(A295,Monitoring!$B$25:$H$390,6,FALSE)),""))</f>
        <v/>
      </c>
      <c r="N295" s="256"/>
      <c r="O295" s="299" t="str">
        <f>IF($O$12="","",IFERROR(IF(Report!$D$4='!'!$HE$4,VLOOKUP(A295,Reference!$B$25:$H$390,7,FALSE),VLOOKUP(A295,Monitoring!$B$25:$H$390,7,FALSE)),""))</f>
        <v/>
      </c>
      <c r="P295" s="51"/>
      <c r="Q295" s="151" t="str">
        <f>IF(B295='!'!$GJ$15,'!'!$GJ$15,$Q$12)</f>
        <v>N</v>
      </c>
      <c r="S295" s="4" t="str">
        <f>IFERROR(ABS(T295),'!'!$GJ$15)</f>
        <v>N</v>
      </c>
      <c r="T295" s="84" t="str">
        <f>IFERROR(+G295-D295,'!'!$GJ$15)</f>
        <v>N</v>
      </c>
      <c r="U295" s="64" t="str">
        <f t="shared" si="9"/>
        <v>N</v>
      </c>
      <c r="W295" s="153" t="str">
        <f>IFERROR(I$10*I295,'!'!$GJ$15)</f>
        <v>N</v>
      </c>
      <c r="X295" s="153" t="str">
        <f>IFERROR(K$10*K295,'!'!$GJ$15)</f>
        <v>N</v>
      </c>
      <c r="Y295" s="153" t="str">
        <f>IFERROR(M$10*M295,'!'!$GJ$15)</f>
        <v>N</v>
      </c>
      <c r="Z295" s="153" t="str">
        <f>IFERROR(O$10*O296,'!'!$GJ$15)</f>
        <v>N</v>
      </c>
    </row>
    <row r="296" spans="1:26" x14ac:dyDescent="0.35">
      <c r="A296" s="4">
        <f t="shared" si="8"/>
        <v>272</v>
      </c>
      <c r="B296" s="286" t="str">
        <f>IFERROR(IF(Report!$D$4='!'!$HE$4,VLOOKUP(A296,Reference!$B$25:$H$390,2,FALSE),VLOOKUP(A296,Monitoring!$B$25:$H$390,2,FALSE)),'!'!$GJ$15)</f>
        <v>N</v>
      </c>
      <c r="C296" s="58" t="str">
        <f>Reference!A296</f>
        <v/>
      </c>
      <c r="D296" s="287" t="str">
        <f>IFERROR(IF(Report!$D$4='!'!$HE$4,VLOOKUP(A296,Reference!$B$25:$H$390,3,FALSE),VLOOKUP(A296,Monitoring!$B$25:$H$390,3,FALSE)),'!'!$GJ$15)</f>
        <v>N</v>
      </c>
      <c r="E296" s="285"/>
      <c r="F296" s="254"/>
      <c r="G296" s="151" t="str">
        <f>IF(D296='!'!$GJ$15,'!'!$GJ$15,(SUM(W296,X296,Y296,Z295,Q296)))</f>
        <v>N</v>
      </c>
      <c r="H296" s="51"/>
      <c r="I296" s="299" t="str">
        <f>IF($I$12="","",IFERROR(IF(Report!$D$4='!'!$HE$4,VLOOKUP(A296,Reference!$B$25:$H$390,4,FALSE),VLOOKUP(A296,Monitoring!$B$25:$H$390,4,FALSE)),""))</f>
        <v/>
      </c>
      <c r="J296" s="256"/>
      <c r="K296" s="299" t="str">
        <f>IF($K$12="","",IFERROR(IF(Report!$D$4='!'!$HE$4,VLOOKUP(A296,Reference!$B$25:$H$390,5,FALSE),VLOOKUP(A296,Monitoring!$B$25:$H$390,5,FALSE)),""))</f>
        <v/>
      </c>
      <c r="L296" s="256"/>
      <c r="M296" s="299" t="str">
        <f>IF($M$12="","",IFERROR(IF(Report!$D$4='!'!$HE$4,VLOOKUP(A296,Reference!$B$25:$H$390,6,FALSE),VLOOKUP(A296,Monitoring!$B$25:$H$390,6,FALSE)),""))</f>
        <v/>
      </c>
      <c r="N296" s="256"/>
      <c r="O296" s="299" t="str">
        <f>IF($O$12="","",IFERROR(IF(Report!$D$4='!'!$HE$4,VLOOKUP(A296,Reference!$B$25:$H$390,7,FALSE),VLOOKUP(A296,Monitoring!$B$25:$H$390,7,FALSE)),""))</f>
        <v/>
      </c>
      <c r="P296" s="51"/>
      <c r="Q296" s="151" t="str">
        <f>IF(B296='!'!$GJ$15,'!'!$GJ$15,$Q$12)</f>
        <v>N</v>
      </c>
      <c r="S296" s="4" t="str">
        <f>IFERROR(ABS(T296),'!'!$GJ$15)</f>
        <v>N</v>
      </c>
      <c r="T296" s="84" t="str">
        <f>IFERROR(+G296-D296,'!'!$GJ$15)</f>
        <v>N</v>
      </c>
      <c r="U296" s="64" t="str">
        <f t="shared" si="9"/>
        <v>N</v>
      </c>
      <c r="W296" s="153" t="str">
        <f>IFERROR(I$10*I296,'!'!$GJ$15)</f>
        <v>N</v>
      </c>
      <c r="X296" s="153" t="str">
        <f>IFERROR(K$10*K296,'!'!$GJ$15)</f>
        <v>N</v>
      </c>
      <c r="Y296" s="153" t="str">
        <f>IFERROR(M$10*M296,'!'!$GJ$15)</f>
        <v>N</v>
      </c>
      <c r="Z296" s="153" t="str">
        <f>IFERROR(O$10*O297,'!'!$GJ$15)</f>
        <v>N</v>
      </c>
    </row>
    <row r="297" spans="1:26" x14ac:dyDescent="0.35">
      <c r="A297" s="4">
        <f t="shared" si="8"/>
        <v>273</v>
      </c>
      <c r="B297" s="286" t="str">
        <f>IFERROR(IF(Report!$D$4='!'!$HE$4,VLOOKUP(A297,Reference!$B$25:$H$390,2,FALSE),VLOOKUP(A297,Monitoring!$B$25:$H$390,2,FALSE)),'!'!$GJ$15)</f>
        <v>N</v>
      </c>
      <c r="C297" s="58" t="str">
        <f>Reference!A297</f>
        <v/>
      </c>
      <c r="D297" s="287" t="str">
        <f>IFERROR(IF(Report!$D$4='!'!$HE$4,VLOOKUP(A297,Reference!$B$25:$H$390,3,FALSE),VLOOKUP(A297,Monitoring!$B$25:$H$390,3,FALSE)),'!'!$GJ$15)</f>
        <v>N</v>
      </c>
      <c r="E297" s="285"/>
      <c r="F297" s="254"/>
      <c r="G297" s="151" t="str">
        <f>IF(D297='!'!$GJ$15,'!'!$GJ$15,(SUM(W297,X297,Y297,Z296,Q297)))</f>
        <v>N</v>
      </c>
      <c r="H297" s="51"/>
      <c r="I297" s="299" t="str">
        <f>IF($I$12="","",IFERROR(IF(Report!$D$4='!'!$HE$4,VLOOKUP(A297,Reference!$B$25:$H$390,4,FALSE),VLOOKUP(A297,Monitoring!$B$25:$H$390,4,FALSE)),""))</f>
        <v/>
      </c>
      <c r="J297" s="256"/>
      <c r="K297" s="299" t="str">
        <f>IF($K$12="","",IFERROR(IF(Report!$D$4='!'!$HE$4,VLOOKUP(A297,Reference!$B$25:$H$390,5,FALSE),VLOOKUP(A297,Monitoring!$B$25:$H$390,5,FALSE)),""))</f>
        <v/>
      </c>
      <c r="L297" s="256"/>
      <c r="M297" s="299" t="str">
        <f>IF($M$12="","",IFERROR(IF(Report!$D$4='!'!$HE$4,VLOOKUP(A297,Reference!$B$25:$H$390,6,FALSE),VLOOKUP(A297,Monitoring!$B$25:$H$390,6,FALSE)),""))</f>
        <v/>
      </c>
      <c r="N297" s="256"/>
      <c r="O297" s="299" t="str">
        <f>IF($O$12="","",IFERROR(IF(Report!$D$4='!'!$HE$4,VLOOKUP(A297,Reference!$B$25:$H$390,7,FALSE),VLOOKUP(A297,Monitoring!$B$25:$H$390,7,FALSE)),""))</f>
        <v/>
      </c>
      <c r="P297" s="51"/>
      <c r="Q297" s="151" t="str">
        <f>IF(B297='!'!$GJ$15,'!'!$GJ$15,$Q$12)</f>
        <v>N</v>
      </c>
      <c r="S297" s="4" t="str">
        <f>IFERROR(ABS(T297),'!'!$GJ$15)</f>
        <v>N</v>
      </c>
      <c r="T297" s="84" t="str">
        <f>IFERROR(+G297-D297,'!'!$GJ$15)</f>
        <v>N</v>
      </c>
      <c r="U297" s="64" t="str">
        <f t="shared" si="9"/>
        <v>N</v>
      </c>
      <c r="W297" s="153" t="str">
        <f>IFERROR(I$10*I297,'!'!$GJ$15)</f>
        <v>N</v>
      </c>
      <c r="X297" s="153" t="str">
        <f>IFERROR(K$10*K297,'!'!$GJ$15)</f>
        <v>N</v>
      </c>
      <c r="Y297" s="153" t="str">
        <f>IFERROR(M$10*M297,'!'!$GJ$15)</f>
        <v>N</v>
      </c>
      <c r="Z297" s="153" t="str">
        <f>IFERROR(O$10*O298,'!'!$GJ$15)</f>
        <v>N</v>
      </c>
    </row>
    <row r="298" spans="1:26" x14ac:dyDescent="0.35">
      <c r="A298" s="4">
        <f t="shared" si="8"/>
        <v>274</v>
      </c>
      <c r="B298" s="286" t="str">
        <f>IFERROR(IF(Report!$D$4='!'!$HE$4,VLOOKUP(A298,Reference!$B$25:$H$390,2,FALSE),VLOOKUP(A298,Monitoring!$B$25:$H$390,2,FALSE)),'!'!$GJ$15)</f>
        <v>N</v>
      </c>
      <c r="C298" s="58" t="str">
        <f>Reference!A298</f>
        <v/>
      </c>
      <c r="D298" s="287" t="str">
        <f>IFERROR(IF(Report!$D$4='!'!$HE$4,VLOOKUP(A298,Reference!$B$25:$H$390,3,FALSE),VLOOKUP(A298,Monitoring!$B$25:$H$390,3,FALSE)),'!'!$GJ$15)</f>
        <v>N</v>
      </c>
      <c r="E298" s="285"/>
      <c r="F298" s="254"/>
      <c r="G298" s="151" t="str">
        <f>IF(D298='!'!$GJ$15,'!'!$GJ$15,(SUM(W298,X298,Y298,Z297,Q298)))</f>
        <v>N</v>
      </c>
      <c r="H298" s="51"/>
      <c r="I298" s="299" t="str">
        <f>IF($I$12="","",IFERROR(IF(Report!$D$4='!'!$HE$4,VLOOKUP(A298,Reference!$B$25:$H$390,4,FALSE),VLOOKUP(A298,Monitoring!$B$25:$H$390,4,FALSE)),""))</f>
        <v/>
      </c>
      <c r="J298" s="256"/>
      <c r="K298" s="299" t="str">
        <f>IF($K$12="","",IFERROR(IF(Report!$D$4='!'!$HE$4,VLOOKUP(A298,Reference!$B$25:$H$390,5,FALSE),VLOOKUP(A298,Monitoring!$B$25:$H$390,5,FALSE)),""))</f>
        <v/>
      </c>
      <c r="L298" s="256"/>
      <c r="M298" s="299" t="str">
        <f>IF($M$12="","",IFERROR(IF(Report!$D$4='!'!$HE$4,VLOOKUP(A298,Reference!$B$25:$H$390,6,FALSE),VLOOKUP(A298,Monitoring!$B$25:$H$390,6,FALSE)),""))</f>
        <v/>
      </c>
      <c r="N298" s="256"/>
      <c r="O298" s="299" t="str">
        <f>IF($O$12="","",IFERROR(IF(Report!$D$4='!'!$HE$4,VLOOKUP(A298,Reference!$B$25:$H$390,7,FALSE),VLOOKUP(A298,Monitoring!$B$25:$H$390,7,FALSE)),""))</f>
        <v/>
      </c>
      <c r="P298" s="51"/>
      <c r="Q298" s="151" t="str">
        <f>IF(B298='!'!$GJ$15,'!'!$GJ$15,$Q$12)</f>
        <v>N</v>
      </c>
      <c r="S298" s="4" t="str">
        <f>IFERROR(ABS(T298),'!'!$GJ$15)</f>
        <v>N</v>
      </c>
      <c r="T298" s="84" t="str">
        <f>IFERROR(+G298-D298,'!'!$GJ$15)</f>
        <v>N</v>
      </c>
      <c r="U298" s="64" t="str">
        <f t="shared" si="9"/>
        <v>N</v>
      </c>
      <c r="W298" s="153" t="str">
        <f>IFERROR(I$10*I298,'!'!$GJ$15)</f>
        <v>N</v>
      </c>
      <c r="X298" s="153" t="str">
        <f>IFERROR(K$10*K298,'!'!$GJ$15)</f>
        <v>N</v>
      </c>
      <c r="Y298" s="153" t="str">
        <f>IFERROR(M$10*M298,'!'!$GJ$15)</f>
        <v>N</v>
      </c>
      <c r="Z298" s="153" t="str">
        <f>IFERROR(O$10*O299,'!'!$GJ$15)</f>
        <v>N</v>
      </c>
    </row>
    <row r="299" spans="1:26" x14ac:dyDescent="0.35">
      <c r="A299" s="4">
        <f t="shared" si="8"/>
        <v>275</v>
      </c>
      <c r="B299" s="286" t="str">
        <f>IFERROR(IF(Report!$D$4='!'!$HE$4,VLOOKUP(A299,Reference!$B$25:$H$390,2,FALSE),VLOOKUP(A299,Monitoring!$B$25:$H$390,2,FALSE)),'!'!$GJ$15)</f>
        <v>N</v>
      </c>
      <c r="C299" s="58" t="str">
        <f>Reference!A299</f>
        <v/>
      </c>
      <c r="D299" s="287" t="str">
        <f>IFERROR(IF(Report!$D$4='!'!$HE$4,VLOOKUP(A299,Reference!$B$25:$H$390,3,FALSE),VLOOKUP(A299,Monitoring!$B$25:$H$390,3,FALSE)),'!'!$GJ$15)</f>
        <v>N</v>
      </c>
      <c r="E299" s="285"/>
      <c r="F299" s="254"/>
      <c r="G299" s="151" t="str">
        <f>IF(D299='!'!$GJ$15,'!'!$GJ$15,(SUM(W299,X299,Y299,Z298,Q299)))</f>
        <v>N</v>
      </c>
      <c r="H299" s="51"/>
      <c r="I299" s="299" t="str">
        <f>IF($I$12="","",IFERROR(IF(Report!$D$4='!'!$HE$4,VLOOKUP(A299,Reference!$B$25:$H$390,4,FALSE),VLOOKUP(A299,Monitoring!$B$25:$H$390,4,FALSE)),""))</f>
        <v/>
      </c>
      <c r="J299" s="256"/>
      <c r="K299" s="299" t="str">
        <f>IF($K$12="","",IFERROR(IF(Report!$D$4='!'!$HE$4,VLOOKUP(A299,Reference!$B$25:$H$390,5,FALSE),VLOOKUP(A299,Monitoring!$B$25:$H$390,5,FALSE)),""))</f>
        <v/>
      </c>
      <c r="L299" s="256"/>
      <c r="M299" s="299" t="str">
        <f>IF($M$12="","",IFERROR(IF(Report!$D$4='!'!$HE$4,VLOOKUP(A299,Reference!$B$25:$H$390,6,FALSE),VLOOKUP(A299,Monitoring!$B$25:$H$390,6,FALSE)),""))</f>
        <v/>
      </c>
      <c r="N299" s="256"/>
      <c r="O299" s="299" t="str">
        <f>IF($O$12="","",IFERROR(IF(Report!$D$4='!'!$HE$4,VLOOKUP(A299,Reference!$B$25:$H$390,7,FALSE),VLOOKUP(A299,Monitoring!$B$25:$H$390,7,FALSE)),""))</f>
        <v/>
      </c>
      <c r="P299" s="51"/>
      <c r="Q299" s="151" t="str">
        <f>IF(B299='!'!$GJ$15,'!'!$GJ$15,$Q$12)</f>
        <v>N</v>
      </c>
      <c r="S299" s="4" t="str">
        <f>IFERROR(ABS(T299),'!'!$GJ$15)</f>
        <v>N</v>
      </c>
      <c r="T299" s="84" t="str">
        <f>IFERROR(+G299-D299,'!'!$GJ$15)</f>
        <v>N</v>
      </c>
      <c r="U299" s="64" t="str">
        <f t="shared" si="9"/>
        <v>N</v>
      </c>
      <c r="W299" s="153" t="str">
        <f>IFERROR(I$10*I299,'!'!$GJ$15)</f>
        <v>N</v>
      </c>
      <c r="X299" s="153" t="str">
        <f>IFERROR(K$10*K299,'!'!$GJ$15)</f>
        <v>N</v>
      </c>
      <c r="Y299" s="153" t="str">
        <f>IFERROR(M$10*M299,'!'!$GJ$15)</f>
        <v>N</v>
      </c>
      <c r="Z299" s="153" t="str">
        <f>IFERROR(O$10*O300,'!'!$GJ$15)</f>
        <v>N</v>
      </c>
    </row>
    <row r="300" spans="1:26" x14ac:dyDescent="0.35">
      <c r="A300" s="4">
        <f t="shared" si="8"/>
        <v>276</v>
      </c>
      <c r="B300" s="286" t="str">
        <f>IFERROR(IF(Report!$D$4='!'!$HE$4,VLOOKUP(A300,Reference!$B$25:$H$390,2,FALSE),VLOOKUP(A300,Monitoring!$B$25:$H$390,2,FALSE)),'!'!$GJ$15)</f>
        <v>N</v>
      </c>
      <c r="C300" s="58" t="str">
        <f>Reference!A300</f>
        <v/>
      </c>
      <c r="D300" s="287" t="str">
        <f>IFERROR(IF(Report!$D$4='!'!$HE$4,VLOOKUP(A300,Reference!$B$25:$H$390,3,FALSE),VLOOKUP(A300,Monitoring!$B$25:$H$390,3,FALSE)),'!'!$GJ$15)</f>
        <v>N</v>
      </c>
      <c r="E300" s="285"/>
      <c r="F300" s="254"/>
      <c r="G300" s="151" t="str">
        <f>IF(D300='!'!$GJ$15,'!'!$GJ$15,(SUM(W300,X300,Y300,Z299,Q300)))</f>
        <v>N</v>
      </c>
      <c r="H300" s="51"/>
      <c r="I300" s="299" t="str">
        <f>IF($I$12="","",IFERROR(IF(Report!$D$4='!'!$HE$4,VLOOKUP(A300,Reference!$B$25:$H$390,4,FALSE),VLOOKUP(A300,Monitoring!$B$25:$H$390,4,FALSE)),""))</f>
        <v/>
      </c>
      <c r="J300" s="256"/>
      <c r="K300" s="299" t="str">
        <f>IF($K$12="","",IFERROR(IF(Report!$D$4='!'!$HE$4,VLOOKUP(A300,Reference!$B$25:$H$390,5,FALSE),VLOOKUP(A300,Monitoring!$B$25:$H$390,5,FALSE)),""))</f>
        <v/>
      </c>
      <c r="L300" s="256"/>
      <c r="M300" s="299" t="str">
        <f>IF($M$12="","",IFERROR(IF(Report!$D$4='!'!$HE$4,VLOOKUP(A300,Reference!$B$25:$H$390,6,FALSE),VLOOKUP(A300,Monitoring!$B$25:$H$390,6,FALSE)),""))</f>
        <v/>
      </c>
      <c r="N300" s="256"/>
      <c r="O300" s="299" t="str">
        <f>IF($O$12="","",IFERROR(IF(Report!$D$4='!'!$HE$4,VLOOKUP(A300,Reference!$B$25:$H$390,7,FALSE),VLOOKUP(A300,Monitoring!$B$25:$H$390,7,FALSE)),""))</f>
        <v/>
      </c>
      <c r="P300" s="51"/>
      <c r="Q300" s="151" t="str">
        <f>IF(B300='!'!$GJ$15,'!'!$GJ$15,$Q$12)</f>
        <v>N</v>
      </c>
      <c r="S300" s="4" t="str">
        <f>IFERROR(ABS(T300),'!'!$GJ$15)</f>
        <v>N</v>
      </c>
      <c r="T300" s="84" t="str">
        <f>IFERROR(+G300-D300,'!'!$GJ$15)</f>
        <v>N</v>
      </c>
      <c r="U300" s="64" t="str">
        <f t="shared" si="9"/>
        <v>N</v>
      </c>
      <c r="W300" s="153" t="str">
        <f>IFERROR(I$10*I300,'!'!$GJ$15)</f>
        <v>N</v>
      </c>
      <c r="X300" s="153" t="str">
        <f>IFERROR(K$10*K300,'!'!$GJ$15)</f>
        <v>N</v>
      </c>
      <c r="Y300" s="153" t="str">
        <f>IFERROR(M$10*M300,'!'!$GJ$15)</f>
        <v>N</v>
      </c>
      <c r="Z300" s="153" t="str">
        <f>IFERROR(O$10*O301,'!'!$GJ$15)</f>
        <v>N</v>
      </c>
    </row>
    <row r="301" spans="1:26" x14ac:dyDescent="0.35">
      <c r="A301" s="4">
        <f t="shared" si="8"/>
        <v>277</v>
      </c>
      <c r="B301" s="286" t="str">
        <f>IFERROR(IF(Report!$D$4='!'!$HE$4,VLOOKUP(A301,Reference!$B$25:$H$390,2,FALSE),VLOOKUP(A301,Monitoring!$B$25:$H$390,2,FALSE)),'!'!$GJ$15)</f>
        <v>N</v>
      </c>
      <c r="C301" s="58" t="str">
        <f>Reference!A301</f>
        <v/>
      </c>
      <c r="D301" s="287" t="str">
        <f>IFERROR(IF(Report!$D$4='!'!$HE$4,VLOOKUP(A301,Reference!$B$25:$H$390,3,FALSE),VLOOKUP(A301,Monitoring!$B$25:$H$390,3,FALSE)),'!'!$GJ$15)</f>
        <v>N</v>
      </c>
      <c r="E301" s="285"/>
      <c r="F301" s="254"/>
      <c r="G301" s="151" t="str">
        <f>IF(D301='!'!$GJ$15,'!'!$GJ$15,(SUM(W301,X301,Y301,Z300,Q301)))</f>
        <v>N</v>
      </c>
      <c r="H301" s="51"/>
      <c r="I301" s="299" t="str">
        <f>IF($I$12="","",IFERROR(IF(Report!$D$4='!'!$HE$4,VLOOKUP(A301,Reference!$B$25:$H$390,4,FALSE),VLOOKUP(A301,Monitoring!$B$25:$H$390,4,FALSE)),""))</f>
        <v/>
      </c>
      <c r="J301" s="256"/>
      <c r="K301" s="299" t="str">
        <f>IF($K$12="","",IFERROR(IF(Report!$D$4='!'!$HE$4,VLOOKUP(A301,Reference!$B$25:$H$390,5,FALSE),VLOOKUP(A301,Monitoring!$B$25:$H$390,5,FALSE)),""))</f>
        <v/>
      </c>
      <c r="L301" s="256"/>
      <c r="M301" s="299" t="str">
        <f>IF($M$12="","",IFERROR(IF(Report!$D$4='!'!$HE$4,VLOOKUP(A301,Reference!$B$25:$H$390,6,FALSE),VLOOKUP(A301,Monitoring!$B$25:$H$390,6,FALSE)),""))</f>
        <v/>
      </c>
      <c r="N301" s="256"/>
      <c r="O301" s="299" t="str">
        <f>IF($O$12="","",IFERROR(IF(Report!$D$4='!'!$HE$4,VLOOKUP(A301,Reference!$B$25:$H$390,7,FALSE),VLOOKUP(A301,Monitoring!$B$25:$H$390,7,FALSE)),""))</f>
        <v/>
      </c>
      <c r="P301" s="51"/>
      <c r="Q301" s="151" t="str">
        <f>IF(B301='!'!$GJ$15,'!'!$GJ$15,$Q$12)</f>
        <v>N</v>
      </c>
      <c r="S301" s="4" t="str">
        <f>IFERROR(ABS(T301),'!'!$GJ$15)</f>
        <v>N</v>
      </c>
      <c r="T301" s="84" t="str">
        <f>IFERROR(+G301-D301,'!'!$GJ$15)</f>
        <v>N</v>
      </c>
      <c r="U301" s="64" t="str">
        <f t="shared" si="9"/>
        <v>N</v>
      </c>
      <c r="W301" s="153" t="str">
        <f>IFERROR(I$10*I301,'!'!$GJ$15)</f>
        <v>N</v>
      </c>
      <c r="X301" s="153" t="str">
        <f>IFERROR(K$10*K301,'!'!$GJ$15)</f>
        <v>N</v>
      </c>
      <c r="Y301" s="153" t="str">
        <f>IFERROR(M$10*M301,'!'!$GJ$15)</f>
        <v>N</v>
      </c>
      <c r="Z301" s="153" t="str">
        <f>IFERROR(O$10*O302,'!'!$GJ$15)</f>
        <v>N</v>
      </c>
    </row>
    <row r="302" spans="1:26" x14ac:dyDescent="0.35">
      <c r="A302" s="4">
        <f t="shared" si="8"/>
        <v>278</v>
      </c>
      <c r="B302" s="286" t="str">
        <f>IFERROR(IF(Report!$D$4='!'!$HE$4,VLOOKUP(A302,Reference!$B$25:$H$390,2,FALSE),VLOOKUP(A302,Monitoring!$B$25:$H$390,2,FALSE)),'!'!$GJ$15)</f>
        <v>N</v>
      </c>
      <c r="C302" s="58" t="str">
        <f>Reference!A302</f>
        <v/>
      </c>
      <c r="D302" s="287" t="str">
        <f>IFERROR(IF(Report!$D$4='!'!$HE$4,VLOOKUP(A302,Reference!$B$25:$H$390,3,FALSE),VLOOKUP(A302,Monitoring!$B$25:$H$390,3,FALSE)),'!'!$GJ$15)</f>
        <v>N</v>
      </c>
      <c r="E302" s="285"/>
      <c r="F302" s="254"/>
      <c r="G302" s="151" t="str">
        <f>IF(D302='!'!$GJ$15,'!'!$GJ$15,(SUM(W302,X302,Y302,Z301,Q302)))</f>
        <v>N</v>
      </c>
      <c r="H302" s="51"/>
      <c r="I302" s="299" t="str">
        <f>IF($I$12="","",IFERROR(IF(Report!$D$4='!'!$HE$4,VLOOKUP(A302,Reference!$B$25:$H$390,4,FALSE),VLOOKUP(A302,Monitoring!$B$25:$H$390,4,FALSE)),""))</f>
        <v/>
      </c>
      <c r="J302" s="256"/>
      <c r="K302" s="299" t="str">
        <f>IF($K$12="","",IFERROR(IF(Report!$D$4='!'!$HE$4,VLOOKUP(A302,Reference!$B$25:$H$390,5,FALSE),VLOOKUP(A302,Monitoring!$B$25:$H$390,5,FALSE)),""))</f>
        <v/>
      </c>
      <c r="L302" s="256"/>
      <c r="M302" s="299" t="str">
        <f>IF($M$12="","",IFERROR(IF(Report!$D$4='!'!$HE$4,VLOOKUP(A302,Reference!$B$25:$H$390,6,FALSE),VLOOKUP(A302,Monitoring!$B$25:$H$390,6,FALSE)),""))</f>
        <v/>
      </c>
      <c r="N302" s="256"/>
      <c r="O302" s="299" t="str">
        <f>IF($O$12="","",IFERROR(IF(Report!$D$4='!'!$HE$4,VLOOKUP(A302,Reference!$B$25:$H$390,7,FALSE),VLOOKUP(A302,Monitoring!$B$25:$H$390,7,FALSE)),""))</f>
        <v/>
      </c>
      <c r="P302" s="51"/>
      <c r="Q302" s="151" t="str">
        <f>IF(B302='!'!$GJ$15,'!'!$GJ$15,$Q$12)</f>
        <v>N</v>
      </c>
      <c r="S302" s="4" t="str">
        <f>IFERROR(ABS(T302),'!'!$GJ$15)</f>
        <v>N</v>
      </c>
      <c r="T302" s="84" t="str">
        <f>IFERROR(+G302-D302,'!'!$GJ$15)</f>
        <v>N</v>
      </c>
      <c r="U302" s="64" t="str">
        <f t="shared" si="9"/>
        <v>N</v>
      </c>
      <c r="W302" s="153" t="str">
        <f>IFERROR(I$10*I302,'!'!$GJ$15)</f>
        <v>N</v>
      </c>
      <c r="X302" s="153" t="str">
        <f>IFERROR(K$10*K302,'!'!$GJ$15)</f>
        <v>N</v>
      </c>
      <c r="Y302" s="153" t="str">
        <f>IFERROR(M$10*M302,'!'!$GJ$15)</f>
        <v>N</v>
      </c>
      <c r="Z302" s="153" t="str">
        <f>IFERROR(O$10*O303,'!'!$GJ$15)</f>
        <v>N</v>
      </c>
    </row>
    <row r="303" spans="1:26" x14ac:dyDescent="0.35">
      <c r="A303" s="4">
        <f t="shared" si="8"/>
        <v>279</v>
      </c>
      <c r="B303" s="286" t="str">
        <f>IFERROR(IF(Report!$D$4='!'!$HE$4,VLOOKUP(A303,Reference!$B$25:$H$390,2,FALSE),VLOOKUP(A303,Monitoring!$B$25:$H$390,2,FALSE)),'!'!$GJ$15)</f>
        <v>N</v>
      </c>
      <c r="C303" s="58" t="str">
        <f>Reference!A303</f>
        <v/>
      </c>
      <c r="D303" s="287" t="str">
        <f>IFERROR(IF(Report!$D$4='!'!$HE$4,VLOOKUP(A303,Reference!$B$25:$H$390,3,FALSE),VLOOKUP(A303,Monitoring!$B$25:$H$390,3,FALSE)),'!'!$GJ$15)</f>
        <v>N</v>
      </c>
      <c r="E303" s="285"/>
      <c r="F303" s="254"/>
      <c r="G303" s="151" t="str">
        <f>IF(D303='!'!$GJ$15,'!'!$GJ$15,(SUM(W303,X303,Y303,Z302,Q303)))</f>
        <v>N</v>
      </c>
      <c r="H303" s="51"/>
      <c r="I303" s="299" t="str">
        <f>IF($I$12="","",IFERROR(IF(Report!$D$4='!'!$HE$4,VLOOKUP(A303,Reference!$B$25:$H$390,4,FALSE),VLOOKUP(A303,Monitoring!$B$25:$H$390,4,FALSE)),""))</f>
        <v/>
      </c>
      <c r="J303" s="256"/>
      <c r="K303" s="299" t="str">
        <f>IF($K$12="","",IFERROR(IF(Report!$D$4='!'!$HE$4,VLOOKUP(A303,Reference!$B$25:$H$390,5,FALSE),VLOOKUP(A303,Monitoring!$B$25:$H$390,5,FALSE)),""))</f>
        <v/>
      </c>
      <c r="L303" s="256"/>
      <c r="M303" s="299" t="str">
        <f>IF($M$12="","",IFERROR(IF(Report!$D$4='!'!$HE$4,VLOOKUP(A303,Reference!$B$25:$H$390,6,FALSE),VLOOKUP(A303,Monitoring!$B$25:$H$390,6,FALSE)),""))</f>
        <v/>
      </c>
      <c r="N303" s="256"/>
      <c r="O303" s="299" t="str">
        <f>IF($O$12="","",IFERROR(IF(Report!$D$4='!'!$HE$4,VLOOKUP(A303,Reference!$B$25:$H$390,7,FALSE),VLOOKUP(A303,Monitoring!$B$25:$H$390,7,FALSE)),""))</f>
        <v/>
      </c>
      <c r="P303" s="51"/>
      <c r="Q303" s="151" t="str">
        <f>IF(B303='!'!$GJ$15,'!'!$GJ$15,$Q$12)</f>
        <v>N</v>
      </c>
      <c r="S303" s="4" t="str">
        <f>IFERROR(ABS(T303),'!'!$GJ$15)</f>
        <v>N</v>
      </c>
      <c r="T303" s="84" t="str">
        <f>IFERROR(+G303-D303,'!'!$GJ$15)</f>
        <v>N</v>
      </c>
      <c r="U303" s="64" t="str">
        <f t="shared" si="9"/>
        <v>N</v>
      </c>
      <c r="W303" s="153" t="str">
        <f>IFERROR(I$10*I303,'!'!$GJ$15)</f>
        <v>N</v>
      </c>
      <c r="X303" s="153" t="str">
        <f>IFERROR(K$10*K303,'!'!$GJ$15)</f>
        <v>N</v>
      </c>
      <c r="Y303" s="153" t="str">
        <f>IFERROR(M$10*M303,'!'!$GJ$15)</f>
        <v>N</v>
      </c>
      <c r="Z303" s="153" t="str">
        <f>IFERROR(O$10*O304,'!'!$GJ$15)</f>
        <v>N</v>
      </c>
    </row>
    <row r="304" spans="1:26" x14ac:dyDescent="0.35">
      <c r="A304" s="4">
        <f t="shared" si="8"/>
        <v>280</v>
      </c>
      <c r="B304" s="286" t="str">
        <f>IFERROR(IF(Report!$D$4='!'!$HE$4,VLOOKUP(A304,Reference!$B$25:$H$390,2,FALSE),VLOOKUP(A304,Monitoring!$B$25:$H$390,2,FALSE)),'!'!$GJ$15)</f>
        <v>N</v>
      </c>
      <c r="C304" s="58" t="str">
        <f>Reference!A304</f>
        <v/>
      </c>
      <c r="D304" s="287" t="str">
        <f>IFERROR(IF(Report!$D$4='!'!$HE$4,VLOOKUP(A304,Reference!$B$25:$H$390,3,FALSE),VLOOKUP(A304,Monitoring!$B$25:$H$390,3,FALSE)),'!'!$GJ$15)</f>
        <v>N</v>
      </c>
      <c r="E304" s="285"/>
      <c r="F304" s="254"/>
      <c r="G304" s="151" t="str">
        <f>IF(D304='!'!$GJ$15,'!'!$GJ$15,(SUM(W304,X304,Y304,Z303,Q304)))</f>
        <v>N</v>
      </c>
      <c r="H304" s="51"/>
      <c r="I304" s="299" t="str">
        <f>IF($I$12="","",IFERROR(IF(Report!$D$4='!'!$HE$4,VLOOKUP(A304,Reference!$B$25:$H$390,4,FALSE),VLOOKUP(A304,Monitoring!$B$25:$H$390,4,FALSE)),""))</f>
        <v/>
      </c>
      <c r="J304" s="256"/>
      <c r="K304" s="299" t="str">
        <f>IF($K$12="","",IFERROR(IF(Report!$D$4='!'!$HE$4,VLOOKUP(A304,Reference!$B$25:$H$390,5,FALSE),VLOOKUP(A304,Monitoring!$B$25:$H$390,5,FALSE)),""))</f>
        <v/>
      </c>
      <c r="L304" s="256"/>
      <c r="M304" s="299" t="str">
        <f>IF($M$12="","",IFERROR(IF(Report!$D$4='!'!$HE$4,VLOOKUP(A304,Reference!$B$25:$H$390,6,FALSE),VLOOKUP(A304,Monitoring!$B$25:$H$390,6,FALSE)),""))</f>
        <v/>
      </c>
      <c r="N304" s="256"/>
      <c r="O304" s="299" t="str">
        <f>IF($O$12="","",IFERROR(IF(Report!$D$4='!'!$HE$4,VLOOKUP(A304,Reference!$B$25:$H$390,7,FALSE),VLOOKUP(A304,Monitoring!$B$25:$H$390,7,FALSE)),""))</f>
        <v/>
      </c>
      <c r="P304" s="51"/>
      <c r="Q304" s="151" t="str">
        <f>IF(B304='!'!$GJ$15,'!'!$GJ$15,$Q$12)</f>
        <v>N</v>
      </c>
      <c r="S304" s="4" t="str">
        <f>IFERROR(ABS(T304),'!'!$GJ$15)</f>
        <v>N</v>
      </c>
      <c r="T304" s="84" t="str">
        <f>IFERROR(+G304-D304,'!'!$GJ$15)</f>
        <v>N</v>
      </c>
      <c r="U304" s="64" t="str">
        <f t="shared" si="9"/>
        <v>N</v>
      </c>
      <c r="W304" s="153" t="str">
        <f>IFERROR(I$10*I304,'!'!$GJ$15)</f>
        <v>N</v>
      </c>
      <c r="X304" s="153" t="str">
        <f>IFERROR(K$10*K304,'!'!$GJ$15)</f>
        <v>N</v>
      </c>
      <c r="Y304" s="153" t="str">
        <f>IFERROR(M$10*M304,'!'!$GJ$15)</f>
        <v>N</v>
      </c>
      <c r="Z304" s="153" t="str">
        <f>IFERROR(O$10*O305,'!'!$GJ$15)</f>
        <v>N</v>
      </c>
    </row>
    <row r="305" spans="1:26" x14ac:dyDescent="0.35">
      <c r="A305" s="4">
        <f t="shared" si="8"/>
        <v>281</v>
      </c>
      <c r="B305" s="286" t="str">
        <f>IFERROR(IF(Report!$D$4='!'!$HE$4,VLOOKUP(A305,Reference!$B$25:$H$390,2,FALSE),VLOOKUP(A305,Monitoring!$B$25:$H$390,2,FALSE)),'!'!$GJ$15)</f>
        <v>N</v>
      </c>
      <c r="C305" s="58" t="str">
        <f>Reference!A305</f>
        <v/>
      </c>
      <c r="D305" s="287" t="str">
        <f>IFERROR(IF(Report!$D$4='!'!$HE$4,VLOOKUP(A305,Reference!$B$25:$H$390,3,FALSE),VLOOKUP(A305,Monitoring!$B$25:$H$390,3,FALSE)),'!'!$GJ$15)</f>
        <v>N</v>
      </c>
      <c r="E305" s="285"/>
      <c r="F305" s="254"/>
      <c r="G305" s="151" t="str">
        <f>IF(D305='!'!$GJ$15,'!'!$GJ$15,(SUM(W305,X305,Y305,Z304,Q305)))</f>
        <v>N</v>
      </c>
      <c r="H305" s="51"/>
      <c r="I305" s="299" t="str">
        <f>IF($I$12="","",IFERROR(IF(Report!$D$4='!'!$HE$4,VLOOKUP(A305,Reference!$B$25:$H$390,4,FALSE),VLOOKUP(A305,Monitoring!$B$25:$H$390,4,FALSE)),""))</f>
        <v/>
      </c>
      <c r="J305" s="256"/>
      <c r="K305" s="299" t="str">
        <f>IF($K$12="","",IFERROR(IF(Report!$D$4='!'!$HE$4,VLOOKUP(A305,Reference!$B$25:$H$390,5,FALSE),VLOOKUP(A305,Monitoring!$B$25:$H$390,5,FALSE)),""))</f>
        <v/>
      </c>
      <c r="L305" s="256"/>
      <c r="M305" s="299" t="str">
        <f>IF($M$12="","",IFERROR(IF(Report!$D$4='!'!$HE$4,VLOOKUP(A305,Reference!$B$25:$H$390,6,FALSE),VLOOKUP(A305,Monitoring!$B$25:$H$390,6,FALSE)),""))</f>
        <v/>
      </c>
      <c r="N305" s="256"/>
      <c r="O305" s="299" t="str">
        <f>IF($O$12="","",IFERROR(IF(Report!$D$4='!'!$HE$4,VLOOKUP(A305,Reference!$B$25:$H$390,7,FALSE),VLOOKUP(A305,Monitoring!$B$25:$H$390,7,FALSE)),""))</f>
        <v/>
      </c>
      <c r="P305" s="51"/>
      <c r="Q305" s="151" t="str">
        <f>IF(B305='!'!$GJ$15,'!'!$GJ$15,$Q$12)</f>
        <v>N</v>
      </c>
      <c r="S305" s="4" t="str">
        <f>IFERROR(ABS(T305),'!'!$GJ$15)</f>
        <v>N</v>
      </c>
      <c r="T305" s="84" t="str">
        <f>IFERROR(+G305-D305,'!'!$GJ$15)</f>
        <v>N</v>
      </c>
      <c r="U305" s="64" t="str">
        <f t="shared" si="9"/>
        <v>N</v>
      </c>
      <c r="W305" s="153" t="str">
        <f>IFERROR(I$10*I305,'!'!$GJ$15)</f>
        <v>N</v>
      </c>
      <c r="X305" s="153" t="str">
        <f>IFERROR(K$10*K305,'!'!$GJ$15)</f>
        <v>N</v>
      </c>
      <c r="Y305" s="153" t="str">
        <f>IFERROR(M$10*M305,'!'!$GJ$15)</f>
        <v>N</v>
      </c>
      <c r="Z305" s="153" t="str">
        <f>IFERROR(O$10*O306,'!'!$GJ$15)</f>
        <v>N</v>
      </c>
    </row>
    <row r="306" spans="1:26" x14ac:dyDescent="0.35">
      <c r="A306" s="4">
        <f t="shared" si="8"/>
        <v>282</v>
      </c>
      <c r="B306" s="286" t="str">
        <f>IFERROR(IF(Report!$D$4='!'!$HE$4,VLOOKUP(A306,Reference!$B$25:$H$390,2,FALSE),VLOOKUP(A306,Monitoring!$B$25:$H$390,2,FALSE)),'!'!$GJ$15)</f>
        <v>N</v>
      </c>
      <c r="C306" s="58" t="str">
        <f>Reference!A306</f>
        <v/>
      </c>
      <c r="D306" s="287" t="str">
        <f>IFERROR(IF(Report!$D$4='!'!$HE$4,VLOOKUP(A306,Reference!$B$25:$H$390,3,FALSE),VLOOKUP(A306,Monitoring!$B$25:$H$390,3,FALSE)),'!'!$GJ$15)</f>
        <v>N</v>
      </c>
      <c r="E306" s="285"/>
      <c r="F306" s="254"/>
      <c r="G306" s="151" t="str">
        <f>IF(D306='!'!$GJ$15,'!'!$GJ$15,(SUM(W306,X306,Y306,Z305,Q306)))</f>
        <v>N</v>
      </c>
      <c r="H306" s="51"/>
      <c r="I306" s="299" t="str">
        <f>IF($I$12="","",IFERROR(IF(Report!$D$4='!'!$HE$4,VLOOKUP(A306,Reference!$B$25:$H$390,4,FALSE),VLOOKUP(A306,Monitoring!$B$25:$H$390,4,FALSE)),""))</f>
        <v/>
      </c>
      <c r="J306" s="256"/>
      <c r="K306" s="299" t="str">
        <f>IF($K$12="","",IFERROR(IF(Report!$D$4='!'!$HE$4,VLOOKUP(A306,Reference!$B$25:$H$390,5,FALSE),VLOOKUP(A306,Monitoring!$B$25:$H$390,5,FALSE)),""))</f>
        <v/>
      </c>
      <c r="L306" s="256"/>
      <c r="M306" s="299" t="str">
        <f>IF($M$12="","",IFERROR(IF(Report!$D$4='!'!$HE$4,VLOOKUP(A306,Reference!$B$25:$H$390,6,FALSE),VLOOKUP(A306,Monitoring!$B$25:$H$390,6,FALSE)),""))</f>
        <v/>
      </c>
      <c r="N306" s="256"/>
      <c r="O306" s="299" t="str">
        <f>IF($O$12="","",IFERROR(IF(Report!$D$4='!'!$HE$4,VLOOKUP(A306,Reference!$B$25:$H$390,7,FALSE),VLOOKUP(A306,Monitoring!$B$25:$H$390,7,FALSE)),""))</f>
        <v/>
      </c>
      <c r="P306" s="51"/>
      <c r="Q306" s="151" t="str">
        <f>IF(B306='!'!$GJ$15,'!'!$GJ$15,$Q$12)</f>
        <v>N</v>
      </c>
      <c r="S306" s="4" t="str">
        <f>IFERROR(ABS(T306),'!'!$GJ$15)</f>
        <v>N</v>
      </c>
      <c r="T306" s="84" t="str">
        <f>IFERROR(+G306-D306,'!'!$GJ$15)</f>
        <v>N</v>
      </c>
      <c r="U306" s="64" t="str">
        <f t="shared" si="9"/>
        <v>N</v>
      </c>
      <c r="W306" s="153" t="str">
        <f>IFERROR(I$10*I306,'!'!$GJ$15)</f>
        <v>N</v>
      </c>
      <c r="X306" s="153" t="str">
        <f>IFERROR(K$10*K306,'!'!$GJ$15)</f>
        <v>N</v>
      </c>
      <c r="Y306" s="153" t="str">
        <f>IFERROR(M$10*M306,'!'!$GJ$15)</f>
        <v>N</v>
      </c>
      <c r="Z306" s="153" t="str">
        <f>IFERROR(O$10*O307,'!'!$GJ$15)</f>
        <v>N</v>
      </c>
    </row>
    <row r="307" spans="1:26" x14ac:dyDescent="0.35">
      <c r="A307" s="4">
        <f t="shared" si="8"/>
        <v>283</v>
      </c>
      <c r="B307" s="286" t="str">
        <f>IFERROR(IF(Report!$D$4='!'!$HE$4,VLOOKUP(A307,Reference!$B$25:$H$390,2,FALSE),VLOOKUP(A307,Monitoring!$B$25:$H$390,2,FALSE)),'!'!$GJ$15)</f>
        <v>N</v>
      </c>
      <c r="C307" s="58" t="str">
        <f>Reference!A307</f>
        <v/>
      </c>
      <c r="D307" s="287" t="str">
        <f>IFERROR(IF(Report!$D$4='!'!$HE$4,VLOOKUP(A307,Reference!$B$25:$H$390,3,FALSE),VLOOKUP(A307,Monitoring!$B$25:$H$390,3,FALSE)),'!'!$GJ$15)</f>
        <v>N</v>
      </c>
      <c r="E307" s="285"/>
      <c r="F307" s="254"/>
      <c r="G307" s="151" t="str">
        <f>IF(D307='!'!$GJ$15,'!'!$GJ$15,(SUM(W307,X307,Y307,Z306,Q307)))</f>
        <v>N</v>
      </c>
      <c r="H307" s="51"/>
      <c r="I307" s="299" t="str">
        <f>IF($I$12="","",IFERROR(IF(Report!$D$4='!'!$HE$4,VLOOKUP(A307,Reference!$B$25:$H$390,4,FALSE),VLOOKUP(A307,Monitoring!$B$25:$H$390,4,FALSE)),""))</f>
        <v/>
      </c>
      <c r="J307" s="256"/>
      <c r="K307" s="299" t="str">
        <f>IF($K$12="","",IFERROR(IF(Report!$D$4='!'!$HE$4,VLOOKUP(A307,Reference!$B$25:$H$390,5,FALSE),VLOOKUP(A307,Monitoring!$B$25:$H$390,5,FALSE)),""))</f>
        <v/>
      </c>
      <c r="L307" s="256"/>
      <c r="M307" s="299" t="str">
        <f>IF($M$12="","",IFERROR(IF(Report!$D$4='!'!$HE$4,VLOOKUP(A307,Reference!$B$25:$H$390,6,FALSE),VLOOKUP(A307,Monitoring!$B$25:$H$390,6,FALSE)),""))</f>
        <v/>
      </c>
      <c r="N307" s="256"/>
      <c r="O307" s="299" t="str">
        <f>IF($O$12="","",IFERROR(IF(Report!$D$4='!'!$HE$4,VLOOKUP(A307,Reference!$B$25:$H$390,7,FALSE),VLOOKUP(A307,Monitoring!$B$25:$H$390,7,FALSE)),""))</f>
        <v/>
      </c>
      <c r="P307" s="51"/>
      <c r="Q307" s="151" t="str">
        <f>IF(B307='!'!$GJ$15,'!'!$GJ$15,$Q$12)</f>
        <v>N</v>
      </c>
      <c r="S307" s="4" t="str">
        <f>IFERROR(ABS(T307),'!'!$GJ$15)</f>
        <v>N</v>
      </c>
      <c r="T307" s="84" t="str">
        <f>IFERROR(+G307-D307,'!'!$GJ$15)</f>
        <v>N</v>
      </c>
      <c r="U307" s="64" t="str">
        <f t="shared" si="9"/>
        <v>N</v>
      </c>
      <c r="W307" s="153" t="str">
        <f>IFERROR(I$10*I307,'!'!$GJ$15)</f>
        <v>N</v>
      </c>
      <c r="X307" s="153" t="str">
        <f>IFERROR(K$10*K307,'!'!$GJ$15)</f>
        <v>N</v>
      </c>
      <c r="Y307" s="153" t="str">
        <f>IFERROR(M$10*M307,'!'!$GJ$15)</f>
        <v>N</v>
      </c>
      <c r="Z307" s="153" t="str">
        <f>IFERROR(O$10*O308,'!'!$GJ$15)</f>
        <v>N</v>
      </c>
    </row>
    <row r="308" spans="1:26" x14ac:dyDescent="0.35">
      <c r="A308" s="4">
        <f t="shared" si="8"/>
        <v>284</v>
      </c>
      <c r="B308" s="286" t="str">
        <f>IFERROR(IF(Report!$D$4='!'!$HE$4,VLOOKUP(A308,Reference!$B$25:$H$390,2,FALSE),VLOOKUP(A308,Monitoring!$B$25:$H$390,2,FALSE)),'!'!$GJ$15)</f>
        <v>N</v>
      </c>
      <c r="C308" s="58" t="str">
        <f>Reference!A308</f>
        <v/>
      </c>
      <c r="D308" s="287" t="str">
        <f>IFERROR(IF(Report!$D$4='!'!$HE$4,VLOOKUP(A308,Reference!$B$25:$H$390,3,FALSE),VLOOKUP(A308,Monitoring!$B$25:$H$390,3,FALSE)),'!'!$GJ$15)</f>
        <v>N</v>
      </c>
      <c r="E308" s="285"/>
      <c r="F308" s="254"/>
      <c r="G308" s="151" t="str">
        <f>IF(D308='!'!$GJ$15,'!'!$GJ$15,(SUM(W308,X308,Y308,Z307,Q308)))</f>
        <v>N</v>
      </c>
      <c r="H308" s="51"/>
      <c r="I308" s="299" t="str">
        <f>IF($I$12="","",IFERROR(IF(Report!$D$4='!'!$HE$4,VLOOKUP(A308,Reference!$B$25:$H$390,4,FALSE),VLOOKUP(A308,Monitoring!$B$25:$H$390,4,FALSE)),""))</f>
        <v/>
      </c>
      <c r="J308" s="256"/>
      <c r="K308" s="299" t="str">
        <f>IF($K$12="","",IFERROR(IF(Report!$D$4='!'!$HE$4,VLOOKUP(A308,Reference!$B$25:$H$390,5,FALSE),VLOOKUP(A308,Monitoring!$B$25:$H$390,5,FALSE)),""))</f>
        <v/>
      </c>
      <c r="L308" s="256"/>
      <c r="M308" s="299" t="str">
        <f>IF($M$12="","",IFERROR(IF(Report!$D$4='!'!$HE$4,VLOOKUP(A308,Reference!$B$25:$H$390,6,FALSE),VLOOKUP(A308,Monitoring!$B$25:$H$390,6,FALSE)),""))</f>
        <v/>
      </c>
      <c r="N308" s="256"/>
      <c r="O308" s="299" t="str">
        <f>IF($O$12="","",IFERROR(IF(Report!$D$4='!'!$HE$4,VLOOKUP(A308,Reference!$B$25:$H$390,7,FALSE),VLOOKUP(A308,Monitoring!$B$25:$H$390,7,FALSE)),""))</f>
        <v/>
      </c>
      <c r="P308" s="51"/>
      <c r="Q308" s="151" t="str">
        <f>IF(B308='!'!$GJ$15,'!'!$GJ$15,$Q$12)</f>
        <v>N</v>
      </c>
      <c r="S308" s="4" t="str">
        <f>IFERROR(ABS(T308),'!'!$GJ$15)</f>
        <v>N</v>
      </c>
      <c r="T308" s="84" t="str">
        <f>IFERROR(+G308-D308,'!'!$GJ$15)</f>
        <v>N</v>
      </c>
      <c r="U308" s="64" t="str">
        <f t="shared" si="9"/>
        <v>N</v>
      </c>
      <c r="W308" s="153" t="str">
        <f>IFERROR(I$10*I308,'!'!$GJ$15)</f>
        <v>N</v>
      </c>
      <c r="X308" s="153" t="str">
        <f>IFERROR(K$10*K308,'!'!$GJ$15)</f>
        <v>N</v>
      </c>
      <c r="Y308" s="153" t="str">
        <f>IFERROR(M$10*M308,'!'!$GJ$15)</f>
        <v>N</v>
      </c>
      <c r="Z308" s="153" t="str">
        <f>IFERROR(O$10*O309,'!'!$GJ$15)</f>
        <v>N</v>
      </c>
    </row>
    <row r="309" spans="1:26" x14ac:dyDescent="0.35">
      <c r="A309" s="4">
        <f t="shared" si="8"/>
        <v>285</v>
      </c>
      <c r="B309" s="286" t="str">
        <f>IFERROR(IF(Report!$D$4='!'!$HE$4,VLOOKUP(A309,Reference!$B$25:$H$390,2,FALSE),VLOOKUP(A309,Monitoring!$B$25:$H$390,2,FALSE)),'!'!$GJ$15)</f>
        <v>N</v>
      </c>
      <c r="C309" s="58" t="str">
        <f>Reference!A309</f>
        <v/>
      </c>
      <c r="D309" s="287" t="str">
        <f>IFERROR(IF(Report!$D$4='!'!$HE$4,VLOOKUP(A309,Reference!$B$25:$H$390,3,FALSE),VLOOKUP(A309,Monitoring!$B$25:$H$390,3,FALSE)),'!'!$GJ$15)</f>
        <v>N</v>
      </c>
      <c r="E309" s="285"/>
      <c r="F309" s="254"/>
      <c r="G309" s="151" t="str">
        <f>IF(D309='!'!$GJ$15,'!'!$GJ$15,(SUM(W309,X309,Y309,Z308,Q309)))</f>
        <v>N</v>
      </c>
      <c r="H309" s="51"/>
      <c r="I309" s="299" t="str">
        <f>IF($I$12="","",IFERROR(IF(Report!$D$4='!'!$HE$4,VLOOKUP(A309,Reference!$B$25:$H$390,4,FALSE),VLOOKUP(A309,Monitoring!$B$25:$H$390,4,FALSE)),""))</f>
        <v/>
      </c>
      <c r="J309" s="256"/>
      <c r="K309" s="299" t="str">
        <f>IF($K$12="","",IFERROR(IF(Report!$D$4='!'!$HE$4,VLOOKUP(A309,Reference!$B$25:$H$390,5,FALSE),VLOOKUP(A309,Monitoring!$B$25:$H$390,5,FALSE)),""))</f>
        <v/>
      </c>
      <c r="L309" s="256"/>
      <c r="M309" s="299" t="str">
        <f>IF($M$12="","",IFERROR(IF(Report!$D$4='!'!$HE$4,VLOOKUP(A309,Reference!$B$25:$H$390,6,FALSE),VLOOKUP(A309,Monitoring!$B$25:$H$390,6,FALSE)),""))</f>
        <v/>
      </c>
      <c r="N309" s="256"/>
      <c r="O309" s="299" t="str">
        <f>IF($O$12="","",IFERROR(IF(Report!$D$4='!'!$HE$4,VLOOKUP(A309,Reference!$B$25:$H$390,7,FALSE),VLOOKUP(A309,Monitoring!$B$25:$H$390,7,FALSE)),""))</f>
        <v/>
      </c>
      <c r="P309" s="51"/>
      <c r="Q309" s="151" t="str">
        <f>IF(B309='!'!$GJ$15,'!'!$GJ$15,$Q$12)</f>
        <v>N</v>
      </c>
      <c r="S309" s="4" t="str">
        <f>IFERROR(ABS(T309),'!'!$GJ$15)</f>
        <v>N</v>
      </c>
      <c r="T309" s="84" t="str">
        <f>IFERROR(+G309-D309,'!'!$GJ$15)</f>
        <v>N</v>
      </c>
      <c r="U309" s="64" t="str">
        <f t="shared" si="9"/>
        <v>N</v>
      </c>
      <c r="W309" s="153" t="str">
        <f>IFERROR(I$10*I309,'!'!$GJ$15)</f>
        <v>N</v>
      </c>
      <c r="X309" s="153" t="str">
        <f>IFERROR(K$10*K309,'!'!$GJ$15)</f>
        <v>N</v>
      </c>
      <c r="Y309" s="153" t="str">
        <f>IFERROR(M$10*M309,'!'!$GJ$15)</f>
        <v>N</v>
      </c>
      <c r="Z309" s="153" t="str">
        <f>IFERROR(O$10*O310,'!'!$GJ$15)</f>
        <v>N</v>
      </c>
    </row>
    <row r="310" spans="1:26" x14ac:dyDescent="0.35">
      <c r="A310" s="4">
        <f t="shared" si="8"/>
        <v>286</v>
      </c>
      <c r="B310" s="286" t="str">
        <f>IFERROR(IF(Report!$D$4='!'!$HE$4,VLOOKUP(A310,Reference!$B$25:$H$390,2,FALSE),VLOOKUP(A310,Monitoring!$B$25:$H$390,2,FALSE)),'!'!$GJ$15)</f>
        <v>N</v>
      </c>
      <c r="C310" s="58" t="str">
        <f>Reference!A310</f>
        <v/>
      </c>
      <c r="D310" s="287" t="str">
        <f>IFERROR(IF(Report!$D$4='!'!$HE$4,VLOOKUP(A310,Reference!$B$25:$H$390,3,FALSE),VLOOKUP(A310,Monitoring!$B$25:$H$390,3,FALSE)),'!'!$GJ$15)</f>
        <v>N</v>
      </c>
      <c r="E310" s="285"/>
      <c r="F310" s="254"/>
      <c r="G310" s="151" t="str">
        <f>IF(D310='!'!$GJ$15,'!'!$GJ$15,(SUM(W310,X310,Y310,Z309,Q310)))</f>
        <v>N</v>
      </c>
      <c r="H310" s="51"/>
      <c r="I310" s="299" t="str">
        <f>IF($I$12="","",IFERROR(IF(Report!$D$4='!'!$HE$4,VLOOKUP(A310,Reference!$B$25:$H$390,4,FALSE),VLOOKUP(A310,Monitoring!$B$25:$H$390,4,FALSE)),""))</f>
        <v/>
      </c>
      <c r="J310" s="256"/>
      <c r="K310" s="299" t="str">
        <f>IF($K$12="","",IFERROR(IF(Report!$D$4='!'!$HE$4,VLOOKUP(A310,Reference!$B$25:$H$390,5,FALSE),VLOOKUP(A310,Monitoring!$B$25:$H$390,5,FALSE)),""))</f>
        <v/>
      </c>
      <c r="L310" s="256"/>
      <c r="M310" s="299" t="str">
        <f>IF($M$12="","",IFERROR(IF(Report!$D$4='!'!$HE$4,VLOOKUP(A310,Reference!$B$25:$H$390,6,FALSE),VLOOKUP(A310,Monitoring!$B$25:$H$390,6,FALSE)),""))</f>
        <v/>
      </c>
      <c r="N310" s="256"/>
      <c r="O310" s="299" t="str">
        <f>IF($O$12="","",IFERROR(IF(Report!$D$4='!'!$HE$4,VLOOKUP(A310,Reference!$B$25:$H$390,7,FALSE),VLOOKUP(A310,Monitoring!$B$25:$H$390,7,FALSE)),""))</f>
        <v/>
      </c>
      <c r="P310" s="51"/>
      <c r="Q310" s="151" t="str">
        <f>IF(B310='!'!$GJ$15,'!'!$GJ$15,$Q$12)</f>
        <v>N</v>
      </c>
      <c r="S310" s="4" t="str">
        <f>IFERROR(ABS(T310),'!'!$GJ$15)</f>
        <v>N</v>
      </c>
      <c r="T310" s="84" t="str">
        <f>IFERROR(+G310-D310,'!'!$GJ$15)</f>
        <v>N</v>
      </c>
      <c r="U310" s="64" t="str">
        <f t="shared" si="9"/>
        <v>N</v>
      </c>
      <c r="W310" s="153" t="str">
        <f>IFERROR(I$10*I310,'!'!$GJ$15)</f>
        <v>N</v>
      </c>
      <c r="X310" s="153" t="str">
        <f>IFERROR(K$10*K310,'!'!$GJ$15)</f>
        <v>N</v>
      </c>
      <c r="Y310" s="153" t="str">
        <f>IFERROR(M$10*M310,'!'!$GJ$15)</f>
        <v>N</v>
      </c>
      <c r="Z310" s="153" t="str">
        <f>IFERROR(O$10*O311,'!'!$GJ$15)</f>
        <v>N</v>
      </c>
    </row>
    <row r="311" spans="1:26" x14ac:dyDescent="0.35">
      <c r="A311" s="4">
        <f t="shared" si="8"/>
        <v>287</v>
      </c>
      <c r="B311" s="286" t="str">
        <f>IFERROR(IF(Report!$D$4='!'!$HE$4,VLOOKUP(A311,Reference!$B$25:$H$390,2,FALSE),VLOOKUP(A311,Monitoring!$B$25:$H$390,2,FALSE)),'!'!$GJ$15)</f>
        <v>N</v>
      </c>
      <c r="C311" s="58" t="str">
        <f>Reference!A311</f>
        <v/>
      </c>
      <c r="D311" s="287" t="str">
        <f>IFERROR(IF(Report!$D$4='!'!$HE$4,VLOOKUP(A311,Reference!$B$25:$H$390,3,FALSE),VLOOKUP(A311,Monitoring!$B$25:$H$390,3,FALSE)),'!'!$GJ$15)</f>
        <v>N</v>
      </c>
      <c r="E311" s="285"/>
      <c r="F311" s="254"/>
      <c r="G311" s="151" t="str">
        <f>IF(D311='!'!$GJ$15,'!'!$GJ$15,(SUM(W311,X311,Y311,Z310,Q311)))</f>
        <v>N</v>
      </c>
      <c r="H311" s="51"/>
      <c r="I311" s="299" t="str">
        <f>IF($I$12="","",IFERROR(IF(Report!$D$4='!'!$HE$4,VLOOKUP(A311,Reference!$B$25:$H$390,4,FALSE),VLOOKUP(A311,Monitoring!$B$25:$H$390,4,FALSE)),""))</f>
        <v/>
      </c>
      <c r="J311" s="256"/>
      <c r="K311" s="299" t="str">
        <f>IF($K$12="","",IFERROR(IF(Report!$D$4='!'!$HE$4,VLOOKUP(A311,Reference!$B$25:$H$390,5,FALSE),VLOOKUP(A311,Monitoring!$B$25:$H$390,5,FALSE)),""))</f>
        <v/>
      </c>
      <c r="L311" s="256"/>
      <c r="M311" s="299" t="str">
        <f>IF($M$12="","",IFERROR(IF(Report!$D$4='!'!$HE$4,VLOOKUP(A311,Reference!$B$25:$H$390,6,FALSE),VLOOKUP(A311,Monitoring!$B$25:$H$390,6,FALSE)),""))</f>
        <v/>
      </c>
      <c r="N311" s="256"/>
      <c r="O311" s="299" t="str">
        <f>IF($O$12="","",IFERROR(IF(Report!$D$4='!'!$HE$4,VLOOKUP(A311,Reference!$B$25:$H$390,7,FALSE),VLOOKUP(A311,Monitoring!$B$25:$H$390,7,FALSE)),""))</f>
        <v/>
      </c>
      <c r="P311" s="51"/>
      <c r="Q311" s="151" t="str">
        <f>IF(B311='!'!$GJ$15,'!'!$GJ$15,$Q$12)</f>
        <v>N</v>
      </c>
      <c r="S311" s="4" t="str">
        <f>IFERROR(ABS(T311),'!'!$GJ$15)</f>
        <v>N</v>
      </c>
      <c r="T311" s="84" t="str">
        <f>IFERROR(+G311-D311,'!'!$GJ$15)</f>
        <v>N</v>
      </c>
      <c r="U311" s="64" t="str">
        <f t="shared" si="9"/>
        <v>N</v>
      </c>
      <c r="W311" s="153" t="str">
        <f>IFERROR(I$10*I311,'!'!$GJ$15)</f>
        <v>N</v>
      </c>
      <c r="X311" s="153" t="str">
        <f>IFERROR(K$10*K311,'!'!$GJ$15)</f>
        <v>N</v>
      </c>
      <c r="Y311" s="153" t="str">
        <f>IFERROR(M$10*M311,'!'!$GJ$15)</f>
        <v>N</v>
      </c>
      <c r="Z311" s="153" t="str">
        <f>IFERROR(O$10*O312,'!'!$GJ$15)</f>
        <v>N</v>
      </c>
    </row>
    <row r="312" spans="1:26" x14ac:dyDescent="0.35">
      <c r="A312" s="4">
        <f t="shared" si="8"/>
        <v>288</v>
      </c>
      <c r="B312" s="286" t="str">
        <f>IFERROR(IF(Report!$D$4='!'!$HE$4,VLOOKUP(A312,Reference!$B$25:$H$390,2,FALSE),VLOOKUP(A312,Monitoring!$B$25:$H$390,2,FALSE)),'!'!$GJ$15)</f>
        <v>N</v>
      </c>
      <c r="C312" s="58" t="str">
        <f>Reference!A312</f>
        <v/>
      </c>
      <c r="D312" s="287" t="str">
        <f>IFERROR(IF(Report!$D$4='!'!$HE$4,VLOOKUP(A312,Reference!$B$25:$H$390,3,FALSE),VLOOKUP(A312,Monitoring!$B$25:$H$390,3,FALSE)),'!'!$GJ$15)</f>
        <v>N</v>
      </c>
      <c r="E312" s="285"/>
      <c r="F312" s="254"/>
      <c r="G312" s="151" t="str">
        <f>IF(D312='!'!$GJ$15,'!'!$GJ$15,(SUM(W312,X312,Y312,Z311,Q312)))</f>
        <v>N</v>
      </c>
      <c r="H312" s="51"/>
      <c r="I312" s="299" t="str">
        <f>IF($I$12="","",IFERROR(IF(Report!$D$4='!'!$HE$4,VLOOKUP(A312,Reference!$B$25:$H$390,4,FALSE),VLOOKUP(A312,Monitoring!$B$25:$H$390,4,FALSE)),""))</f>
        <v/>
      </c>
      <c r="J312" s="256"/>
      <c r="K312" s="299" t="str">
        <f>IF($K$12="","",IFERROR(IF(Report!$D$4='!'!$HE$4,VLOOKUP(A312,Reference!$B$25:$H$390,5,FALSE),VLOOKUP(A312,Monitoring!$B$25:$H$390,5,FALSE)),""))</f>
        <v/>
      </c>
      <c r="L312" s="256"/>
      <c r="M312" s="299" t="str">
        <f>IF($M$12="","",IFERROR(IF(Report!$D$4='!'!$HE$4,VLOOKUP(A312,Reference!$B$25:$H$390,6,FALSE),VLOOKUP(A312,Monitoring!$B$25:$H$390,6,FALSE)),""))</f>
        <v/>
      </c>
      <c r="N312" s="256"/>
      <c r="O312" s="299" t="str">
        <f>IF($O$12="","",IFERROR(IF(Report!$D$4='!'!$HE$4,VLOOKUP(A312,Reference!$B$25:$H$390,7,FALSE),VLOOKUP(A312,Monitoring!$B$25:$H$390,7,FALSE)),""))</f>
        <v/>
      </c>
      <c r="P312" s="51"/>
      <c r="Q312" s="151" t="str">
        <f>IF(B312='!'!$GJ$15,'!'!$GJ$15,$Q$12)</f>
        <v>N</v>
      </c>
      <c r="S312" s="4" t="str">
        <f>IFERROR(ABS(T312),'!'!$GJ$15)</f>
        <v>N</v>
      </c>
      <c r="T312" s="84" t="str">
        <f>IFERROR(+G312-D312,'!'!$GJ$15)</f>
        <v>N</v>
      </c>
      <c r="U312" s="64" t="str">
        <f t="shared" si="9"/>
        <v>N</v>
      </c>
      <c r="W312" s="153" t="str">
        <f>IFERROR(I$10*I312,'!'!$GJ$15)</f>
        <v>N</v>
      </c>
      <c r="X312" s="153" t="str">
        <f>IFERROR(K$10*K312,'!'!$GJ$15)</f>
        <v>N</v>
      </c>
      <c r="Y312" s="153" t="str">
        <f>IFERROR(M$10*M312,'!'!$GJ$15)</f>
        <v>N</v>
      </c>
      <c r="Z312" s="153" t="str">
        <f>IFERROR(O$10*O313,'!'!$GJ$15)</f>
        <v>N</v>
      </c>
    </row>
    <row r="313" spans="1:26" x14ac:dyDescent="0.35">
      <c r="A313" s="4">
        <f t="shared" si="8"/>
        <v>289</v>
      </c>
      <c r="B313" s="286" t="str">
        <f>IFERROR(IF(Report!$D$4='!'!$HE$4,VLOOKUP(A313,Reference!$B$25:$H$390,2,FALSE),VLOOKUP(A313,Monitoring!$B$25:$H$390,2,FALSE)),'!'!$GJ$15)</f>
        <v>N</v>
      </c>
      <c r="C313" s="58" t="str">
        <f>Reference!A313</f>
        <v/>
      </c>
      <c r="D313" s="287" t="str">
        <f>IFERROR(IF(Report!$D$4='!'!$HE$4,VLOOKUP(A313,Reference!$B$25:$H$390,3,FALSE),VLOOKUP(A313,Monitoring!$B$25:$H$390,3,FALSE)),'!'!$GJ$15)</f>
        <v>N</v>
      </c>
      <c r="E313" s="285"/>
      <c r="F313" s="254"/>
      <c r="G313" s="151" t="str">
        <f>IF(D313='!'!$GJ$15,'!'!$GJ$15,(SUM(W313,X313,Y313,Z312,Q313)))</f>
        <v>N</v>
      </c>
      <c r="H313" s="51"/>
      <c r="I313" s="299" t="str">
        <f>IF($I$12="","",IFERROR(IF(Report!$D$4='!'!$HE$4,VLOOKUP(A313,Reference!$B$25:$H$390,4,FALSE),VLOOKUP(A313,Monitoring!$B$25:$H$390,4,FALSE)),""))</f>
        <v/>
      </c>
      <c r="J313" s="256"/>
      <c r="K313" s="299" t="str">
        <f>IF($K$12="","",IFERROR(IF(Report!$D$4='!'!$HE$4,VLOOKUP(A313,Reference!$B$25:$H$390,5,FALSE),VLOOKUP(A313,Monitoring!$B$25:$H$390,5,FALSE)),""))</f>
        <v/>
      </c>
      <c r="L313" s="256"/>
      <c r="M313" s="299" t="str">
        <f>IF($M$12="","",IFERROR(IF(Report!$D$4='!'!$HE$4,VLOOKUP(A313,Reference!$B$25:$H$390,6,FALSE),VLOOKUP(A313,Monitoring!$B$25:$H$390,6,FALSE)),""))</f>
        <v/>
      </c>
      <c r="N313" s="256"/>
      <c r="O313" s="299" t="str">
        <f>IF($O$12="","",IFERROR(IF(Report!$D$4='!'!$HE$4,VLOOKUP(A313,Reference!$B$25:$H$390,7,FALSE),VLOOKUP(A313,Monitoring!$B$25:$H$390,7,FALSE)),""))</f>
        <v/>
      </c>
      <c r="P313" s="51"/>
      <c r="Q313" s="151" t="str">
        <f>IF(B313='!'!$GJ$15,'!'!$GJ$15,$Q$12)</f>
        <v>N</v>
      </c>
      <c r="S313" s="4" t="str">
        <f>IFERROR(ABS(T313),'!'!$GJ$15)</f>
        <v>N</v>
      </c>
      <c r="T313" s="84" t="str">
        <f>IFERROR(+G313-D313,'!'!$GJ$15)</f>
        <v>N</v>
      </c>
      <c r="U313" s="64" t="str">
        <f t="shared" si="9"/>
        <v>N</v>
      </c>
      <c r="W313" s="153" t="str">
        <f>IFERROR(I$10*I313,'!'!$GJ$15)</f>
        <v>N</v>
      </c>
      <c r="X313" s="153" t="str">
        <f>IFERROR(K$10*K313,'!'!$GJ$15)</f>
        <v>N</v>
      </c>
      <c r="Y313" s="153" t="str">
        <f>IFERROR(M$10*M313,'!'!$GJ$15)</f>
        <v>N</v>
      </c>
      <c r="Z313" s="153" t="str">
        <f>IFERROR(O$10*O314,'!'!$GJ$15)</f>
        <v>N</v>
      </c>
    </row>
    <row r="314" spans="1:26" x14ac:dyDescent="0.35">
      <c r="A314" s="4">
        <f t="shared" si="8"/>
        <v>290</v>
      </c>
      <c r="B314" s="286" t="str">
        <f>IFERROR(IF(Report!$D$4='!'!$HE$4,VLOOKUP(A314,Reference!$B$25:$H$390,2,FALSE),VLOOKUP(A314,Monitoring!$B$25:$H$390,2,FALSE)),'!'!$GJ$15)</f>
        <v>N</v>
      </c>
      <c r="C314" s="58" t="str">
        <f>Reference!A314</f>
        <v/>
      </c>
      <c r="D314" s="287" t="str">
        <f>IFERROR(IF(Report!$D$4='!'!$HE$4,VLOOKUP(A314,Reference!$B$25:$H$390,3,FALSE),VLOOKUP(A314,Monitoring!$B$25:$H$390,3,FALSE)),'!'!$GJ$15)</f>
        <v>N</v>
      </c>
      <c r="E314" s="285"/>
      <c r="F314" s="254"/>
      <c r="G314" s="151" t="str">
        <f>IF(D314='!'!$GJ$15,'!'!$GJ$15,(SUM(W314,X314,Y314,Z313,Q314)))</f>
        <v>N</v>
      </c>
      <c r="H314" s="51"/>
      <c r="I314" s="299" t="str">
        <f>IF($I$12="","",IFERROR(IF(Report!$D$4='!'!$HE$4,VLOOKUP(A314,Reference!$B$25:$H$390,4,FALSE),VLOOKUP(A314,Monitoring!$B$25:$H$390,4,FALSE)),""))</f>
        <v/>
      </c>
      <c r="J314" s="256"/>
      <c r="K314" s="299" t="str">
        <f>IF($K$12="","",IFERROR(IF(Report!$D$4='!'!$HE$4,VLOOKUP(A314,Reference!$B$25:$H$390,5,FALSE),VLOOKUP(A314,Monitoring!$B$25:$H$390,5,FALSE)),""))</f>
        <v/>
      </c>
      <c r="L314" s="256"/>
      <c r="M314" s="299" t="str">
        <f>IF($M$12="","",IFERROR(IF(Report!$D$4='!'!$HE$4,VLOOKUP(A314,Reference!$B$25:$H$390,6,FALSE),VLOOKUP(A314,Monitoring!$B$25:$H$390,6,FALSE)),""))</f>
        <v/>
      </c>
      <c r="N314" s="256"/>
      <c r="O314" s="299" t="str">
        <f>IF($O$12="","",IFERROR(IF(Report!$D$4='!'!$HE$4,VLOOKUP(A314,Reference!$B$25:$H$390,7,FALSE),VLOOKUP(A314,Monitoring!$B$25:$H$390,7,FALSE)),""))</f>
        <v/>
      </c>
      <c r="P314" s="51"/>
      <c r="Q314" s="151" t="str">
        <f>IF(B314='!'!$GJ$15,'!'!$GJ$15,$Q$12)</f>
        <v>N</v>
      </c>
      <c r="S314" s="4" t="str">
        <f>IFERROR(ABS(T314),'!'!$GJ$15)</f>
        <v>N</v>
      </c>
      <c r="T314" s="84" t="str">
        <f>IFERROR(+G314-D314,'!'!$GJ$15)</f>
        <v>N</v>
      </c>
      <c r="U314" s="64" t="str">
        <f t="shared" si="9"/>
        <v>N</v>
      </c>
      <c r="W314" s="153" t="str">
        <f>IFERROR(I$10*I314,'!'!$GJ$15)</f>
        <v>N</v>
      </c>
      <c r="X314" s="153" t="str">
        <f>IFERROR(K$10*K314,'!'!$GJ$15)</f>
        <v>N</v>
      </c>
      <c r="Y314" s="153" t="str">
        <f>IFERROR(M$10*M314,'!'!$GJ$15)</f>
        <v>N</v>
      </c>
      <c r="Z314" s="153" t="str">
        <f>IFERROR(O$10*O315,'!'!$GJ$15)</f>
        <v>N</v>
      </c>
    </row>
    <row r="315" spans="1:26" x14ac:dyDescent="0.35">
      <c r="A315" s="4">
        <f t="shared" si="8"/>
        <v>291</v>
      </c>
      <c r="B315" s="286" t="str">
        <f>IFERROR(IF(Report!$D$4='!'!$HE$4,VLOOKUP(A315,Reference!$B$25:$H$390,2,FALSE),VLOOKUP(A315,Monitoring!$B$25:$H$390,2,FALSE)),'!'!$GJ$15)</f>
        <v>N</v>
      </c>
      <c r="C315" s="58" t="str">
        <f>Reference!A315</f>
        <v/>
      </c>
      <c r="D315" s="287" t="str">
        <f>IFERROR(IF(Report!$D$4='!'!$HE$4,VLOOKUP(A315,Reference!$B$25:$H$390,3,FALSE),VLOOKUP(A315,Monitoring!$B$25:$H$390,3,FALSE)),'!'!$GJ$15)</f>
        <v>N</v>
      </c>
      <c r="E315" s="285"/>
      <c r="F315" s="254"/>
      <c r="G315" s="151" t="str">
        <f>IF(D315='!'!$GJ$15,'!'!$GJ$15,(SUM(W315,X315,Y315,Z314,Q315)))</f>
        <v>N</v>
      </c>
      <c r="H315" s="51"/>
      <c r="I315" s="299" t="str">
        <f>IF($I$12="","",IFERROR(IF(Report!$D$4='!'!$HE$4,VLOOKUP(A315,Reference!$B$25:$H$390,4,FALSE),VLOOKUP(A315,Monitoring!$B$25:$H$390,4,FALSE)),""))</f>
        <v/>
      </c>
      <c r="J315" s="256"/>
      <c r="K315" s="299" t="str">
        <f>IF($K$12="","",IFERROR(IF(Report!$D$4='!'!$HE$4,VLOOKUP(A315,Reference!$B$25:$H$390,5,FALSE),VLOOKUP(A315,Monitoring!$B$25:$H$390,5,FALSE)),""))</f>
        <v/>
      </c>
      <c r="L315" s="256"/>
      <c r="M315" s="299" t="str">
        <f>IF($M$12="","",IFERROR(IF(Report!$D$4='!'!$HE$4,VLOOKUP(A315,Reference!$B$25:$H$390,6,FALSE),VLOOKUP(A315,Monitoring!$B$25:$H$390,6,FALSE)),""))</f>
        <v/>
      </c>
      <c r="N315" s="256"/>
      <c r="O315" s="299" t="str">
        <f>IF($O$12="","",IFERROR(IF(Report!$D$4='!'!$HE$4,VLOOKUP(A315,Reference!$B$25:$H$390,7,FALSE),VLOOKUP(A315,Monitoring!$B$25:$H$390,7,FALSE)),""))</f>
        <v/>
      </c>
      <c r="P315" s="51"/>
      <c r="Q315" s="151" t="str">
        <f>IF(B315='!'!$GJ$15,'!'!$GJ$15,$Q$12)</f>
        <v>N</v>
      </c>
      <c r="S315" s="4" t="str">
        <f>IFERROR(ABS(T315),'!'!$GJ$15)</f>
        <v>N</v>
      </c>
      <c r="T315" s="84" t="str">
        <f>IFERROR(+G315-D315,'!'!$GJ$15)</f>
        <v>N</v>
      </c>
      <c r="U315" s="64" t="str">
        <f t="shared" si="9"/>
        <v>N</v>
      </c>
      <c r="W315" s="153" t="str">
        <f>IFERROR(I$10*I315,'!'!$GJ$15)</f>
        <v>N</v>
      </c>
      <c r="X315" s="153" t="str">
        <f>IFERROR(K$10*K315,'!'!$GJ$15)</f>
        <v>N</v>
      </c>
      <c r="Y315" s="153" t="str">
        <f>IFERROR(M$10*M315,'!'!$GJ$15)</f>
        <v>N</v>
      </c>
      <c r="Z315" s="153" t="str">
        <f>IFERROR(O$10*O316,'!'!$GJ$15)</f>
        <v>N</v>
      </c>
    </row>
    <row r="316" spans="1:26" x14ac:dyDescent="0.35">
      <c r="A316" s="4">
        <f t="shared" si="8"/>
        <v>292</v>
      </c>
      <c r="B316" s="286" t="str">
        <f>IFERROR(IF(Report!$D$4='!'!$HE$4,VLOOKUP(A316,Reference!$B$25:$H$390,2,FALSE),VLOOKUP(A316,Monitoring!$B$25:$H$390,2,FALSE)),'!'!$GJ$15)</f>
        <v>N</v>
      </c>
      <c r="C316" s="58" t="str">
        <f>Reference!A316</f>
        <v/>
      </c>
      <c r="D316" s="287" t="str">
        <f>IFERROR(IF(Report!$D$4='!'!$HE$4,VLOOKUP(A316,Reference!$B$25:$H$390,3,FALSE),VLOOKUP(A316,Monitoring!$B$25:$H$390,3,FALSE)),'!'!$GJ$15)</f>
        <v>N</v>
      </c>
      <c r="E316" s="285"/>
      <c r="F316" s="254"/>
      <c r="G316" s="151" t="str">
        <f>IF(D316='!'!$GJ$15,'!'!$GJ$15,(SUM(W316,X316,Y316,Z315,Q316)))</f>
        <v>N</v>
      </c>
      <c r="H316" s="51"/>
      <c r="I316" s="299" t="str">
        <f>IF($I$12="","",IFERROR(IF(Report!$D$4='!'!$HE$4,VLOOKUP(A316,Reference!$B$25:$H$390,4,FALSE),VLOOKUP(A316,Monitoring!$B$25:$H$390,4,FALSE)),""))</f>
        <v/>
      </c>
      <c r="J316" s="256"/>
      <c r="K316" s="299" t="str">
        <f>IF($K$12="","",IFERROR(IF(Report!$D$4='!'!$HE$4,VLOOKUP(A316,Reference!$B$25:$H$390,5,FALSE),VLOOKUP(A316,Monitoring!$B$25:$H$390,5,FALSE)),""))</f>
        <v/>
      </c>
      <c r="L316" s="256"/>
      <c r="M316" s="299" t="str">
        <f>IF($M$12="","",IFERROR(IF(Report!$D$4='!'!$HE$4,VLOOKUP(A316,Reference!$B$25:$H$390,6,FALSE),VLOOKUP(A316,Monitoring!$B$25:$H$390,6,FALSE)),""))</f>
        <v/>
      </c>
      <c r="N316" s="256"/>
      <c r="O316" s="299" t="str">
        <f>IF($O$12="","",IFERROR(IF(Report!$D$4='!'!$HE$4,VLOOKUP(A316,Reference!$B$25:$H$390,7,FALSE),VLOOKUP(A316,Monitoring!$B$25:$H$390,7,FALSE)),""))</f>
        <v/>
      </c>
      <c r="P316" s="51"/>
      <c r="Q316" s="151" t="str">
        <f>IF(B316='!'!$GJ$15,'!'!$GJ$15,$Q$12)</f>
        <v>N</v>
      </c>
      <c r="S316" s="4" t="str">
        <f>IFERROR(ABS(T316),'!'!$GJ$15)</f>
        <v>N</v>
      </c>
      <c r="T316" s="84" t="str">
        <f>IFERROR(+G316-D316,'!'!$GJ$15)</f>
        <v>N</v>
      </c>
      <c r="U316" s="64" t="str">
        <f t="shared" si="9"/>
        <v>N</v>
      </c>
      <c r="W316" s="153" t="str">
        <f>IFERROR(I$10*I316,'!'!$GJ$15)</f>
        <v>N</v>
      </c>
      <c r="X316" s="153" t="str">
        <f>IFERROR(K$10*K316,'!'!$GJ$15)</f>
        <v>N</v>
      </c>
      <c r="Y316" s="153" t="str">
        <f>IFERROR(M$10*M316,'!'!$GJ$15)</f>
        <v>N</v>
      </c>
      <c r="Z316" s="153" t="str">
        <f>IFERROR(O$10*O317,'!'!$GJ$15)</f>
        <v>N</v>
      </c>
    </row>
    <row r="317" spans="1:26" x14ac:dyDescent="0.35">
      <c r="A317" s="4">
        <f t="shared" si="8"/>
        <v>293</v>
      </c>
      <c r="B317" s="286" t="str">
        <f>IFERROR(IF(Report!$D$4='!'!$HE$4,VLOOKUP(A317,Reference!$B$25:$H$390,2,FALSE),VLOOKUP(A317,Monitoring!$B$25:$H$390,2,FALSE)),'!'!$GJ$15)</f>
        <v>N</v>
      </c>
      <c r="C317" s="58" t="str">
        <f>Reference!A317</f>
        <v/>
      </c>
      <c r="D317" s="287" t="str">
        <f>IFERROR(IF(Report!$D$4='!'!$HE$4,VLOOKUP(A317,Reference!$B$25:$H$390,3,FALSE),VLOOKUP(A317,Monitoring!$B$25:$H$390,3,FALSE)),'!'!$GJ$15)</f>
        <v>N</v>
      </c>
      <c r="E317" s="285"/>
      <c r="F317" s="254"/>
      <c r="G317" s="151" t="str">
        <f>IF(D317='!'!$GJ$15,'!'!$GJ$15,(SUM(W317,X317,Y317,Z316,Q317)))</f>
        <v>N</v>
      </c>
      <c r="H317" s="51"/>
      <c r="I317" s="299" t="str">
        <f>IF($I$12="","",IFERROR(IF(Report!$D$4='!'!$HE$4,VLOOKUP(A317,Reference!$B$25:$H$390,4,FALSE),VLOOKUP(A317,Monitoring!$B$25:$H$390,4,FALSE)),""))</f>
        <v/>
      </c>
      <c r="J317" s="256"/>
      <c r="K317" s="299" t="str">
        <f>IF($K$12="","",IFERROR(IF(Report!$D$4='!'!$HE$4,VLOOKUP(A317,Reference!$B$25:$H$390,5,FALSE),VLOOKUP(A317,Monitoring!$B$25:$H$390,5,FALSE)),""))</f>
        <v/>
      </c>
      <c r="L317" s="256"/>
      <c r="M317" s="299" t="str">
        <f>IF($M$12="","",IFERROR(IF(Report!$D$4='!'!$HE$4,VLOOKUP(A317,Reference!$B$25:$H$390,6,FALSE),VLOOKUP(A317,Monitoring!$B$25:$H$390,6,FALSE)),""))</f>
        <v/>
      </c>
      <c r="N317" s="256"/>
      <c r="O317" s="299" t="str">
        <f>IF($O$12="","",IFERROR(IF(Report!$D$4='!'!$HE$4,VLOOKUP(A317,Reference!$B$25:$H$390,7,FALSE),VLOOKUP(A317,Monitoring!$B$25:$H$390,7,FALSE)),""))</f>
        <v/>
      </c>
      <c r="P317" s="51"/>
      <c r="Q317" s="151" t="str">
        <f>IF(B317='!'!$GJ$15,'!'!$GJ$15,$Q$12)</f>
        <v>N</v>
      </c>
      <c r="S317" s="4" t="str">
        <f>IFERROR(ABS(T317),'!'!$GJ$15)</f>
        <v>N</v>
      </c>
      <c r="T317" s="84" t="str">
        <f>IFERROR(+G317-D317,'!'!$GJ$15)</f>
        <v>N</v>
      </c>
      <c r="U317" s="64" t="str">
        <f t="shared" si="9"/>
        <v>N</v>
      </c>
      <c r="W317" s="153" t="str">
        <f>IFERROR(I$10*I317,'!'!$GJ$15)</f>
        <v>N</v>
      </c>
      <c r="X317" s="153" t="str">
        <f>IFERROR(K$10*K317,'!'!$GJ$15)</f>
        <v>N</v>
      </c>
      <c r="Y317" s="153" t="str">
        <f>IFERROR(M$10*M317,'!'!$GJ$15)</f>
        <v>N</v>
      </c>
      <c r="Z317" s="153" t="str">
        <f>IFERROR(O$10*O318,'!'!$GJ$15)</f>
        <v>N</v>
      </c>
    </row>
    <row r="318" spans="1:26" x14ac:dyDescent="0.35">
      <c r="A318" s="4">
        <f t="shared" si="8"/>
        <v>294</v>
      </c>
      <c r="B318" s="286" t="str">
        <f>IFERROR(IF(Report!$D$4='!'!$HE$4,VLOOKUP(A318,Reference!$B$25:$H$390,2,FALSE),VLOOKUP(A318,Monitoring!$B$25:$H$390,2,FALSE)),'!'!$GJ$15)</f>
        <v>N</v>
      </c>
      <c r="C318" s="58" t="str">
        <f>Reference!A318</f>
        <v/>
      </c>
      <c r="D318" s="287" t="str">
        <f>IFERROR(IF(Report!$D$4='!'!$HE$4,VLOOKUP(A318,Reference!$B$25:$H$390,3,FALSE),VLOOKUP(A318,Monitoring!$B$25:$H$390,3,FALSE)),'!'!$GJ$15)</f>
        <v>N</v>
      </c>
      <c r="E318" s="285"/>
      <c r="F318" s="254"/>
      <c r="G318" s="151" t="str">
        <f>IF(D318='!'!$GJ$15,'!'!$GJ$15,(SUM(W318,X318,Y318,Z317,Q318)))</f>
        <v>N</v>
      </c>
      <c r="H318" s="51"/>
      <c r="I318" s="299" t="str">
        <f>IF($I$12="","",IFERROR(IF(Report!$D$4='!'!$HE$4,VLOOKUP(A318,Reference!$B$25:$H$390,4,FALSE),VLOOKUP(A318,Monitoring!$B$25:$H$390,4,FALSE)),""))</f>
        <v/>
      </c>
      <c r="J318" s="256"/>
      <c r="K318" s="299" t="str">
        <f>IF($K$12="","",IFERROR(IF(Report!$D$4='!'!$HE$4,VLOOKUP(A318,Reference!$B$25:$H$390,5,FALSE),VLOOKUP(A318,Monitoring!$B$25:$H$390,5,FALSE)),""))</f>
        <v/>
      </c>
      <c r="L318" s="256"/>
      <c r="M318" s="299" t="str">
        <f>IF($M$12="","",IFERROR(IF(Report!$D$4='!'!$HE$4,VLOOKUP(A318,Reference!$B$25:$H$390,6,FALSE),VLOOKUP(A318,Monitoring!$B$25:$H$390,6,FALSE)),""))</f>
        <v/>
      </c>
      <c r="N318" s="256"/>
      <c r="O318" s="299" t="str">
        <f>IF($O$12="","",IFERROR(IF(Report!$D$4='!'!$HE$4,VLOOKUP(A318,Reference!$B$25:$H$390,7,FALSE),VLOOKUP(A318,Monitoring!$B$25:$H$390,7,FALSE)),""))</f>
        <v/>
      </c>
      <c r="P318" s="51"/>
      <c r="Q318" s="151" t="str">
        <f>IF(B318='!'!$GJ$15,'!'!$GJ$15,$Q$12)</f>
        <v>N</v>
      </c>
      <c r="S318" s="4" t="str">
        <f>IFERROR(ABS(T318),'!'!$GJ$15)</f>
        <v>N</v>
      </c>
      <c r="T318" s="84" t="str">
        <f>IFERROR(+G318-D318,'!'!$GJ$15)</f>
        <v>N</v>
      </c>
      <c r="U318" s="64" t="str">
        <f t="shared" si="9"/>
        <v>N</v>
      </c>
      <c r="W318" s="153" t="str">
        <f>IFERROR(I$10*I318,'!'!$GJ$15)</f>
        <v>N</v>
      </c>
      <c r="X318" s="153" t="str">
        <f>IFERROR(K$10*K318,'!'!$GJ$15)</f>
        <v>N</v>
      </c>
      <c r="Y318" s="153" t="str">
        <f>IFERROR(M$10*M318,'!'!$GJ$15)</f>
        <v>N</v>
      </c>
      <c r="Z318" s="153" t="str">
        <f>IFERROR(O$10*O319,'!'!$GJ$15)</f>
        <v>N</v>
      </c>
    </row>
    <row r="319" spans="1:26" x14ac:dyDescent="0.35">
      <c r="A319" s="4">
        <f t="shared" si="8"/>
        <v>295</v>
      </c>
      <c r="B319" s="286" t="str">
        <f>IFERROR(IF(Report!$D$4='!'!$HE$4,VLOOKUP(A319,Reference!$B$25:$H$390,2,FALSE),VLOOKUP(A319,Monitoring!$B$25:$H$390,2,FALSE)),'!'!$GJ$15)</f>
        <v>N</v>
      </c>
      <c r="C319" s="58" t="str">
        <f>Reference!A319</f>
        <v/>
      </c>
      <c r="D319" s="287" t="str">
        <f>IFERROR(IF(Report!$D$4='!'!$HE$4,VLOOKUP(A319,Reference!$B$25:$H$390,3,FALSE),VLOOKUP(A319,Monitoring!$B$25:$H$390,3,FALSE)),'!'!$GJ$15)</f>
        <v>N</v>
      </c>
      <c r="E319" s="285"/>
      <c r="F319" s="254"/>
      <c r="G319" s="151" t="str">
        <f>IF(D319='!'!$GJ$15,'!'!$GJ$15,(SUM(W319,X319,Y319,Z318,Q319)))</f>
        <v>N</v>
      </c>
      <c r="H319" s="51"/>
      <c r="I319" s="299" t="str">
        <f>IF($I$12="","",IFERROR(IF(Report!$D$4='!'!$HE$4,VLOOKUP(A319,Reference!$B$25:$H$390,4,FALSE),VLOOKUP(A319,Monitoring!$B$25:$H$390,4,FALSE)),""))</f>
        <v/>
      </c>
      <c r="J319" s="256"/>
      <c r="K319" s="299" t="str">
        <f>IF($K$12="","",IFERROR(IF(Report!$D$4='!'!$HE$4,VLOOKUP(A319,Reference!$B$25:$H$390,5,FALSE),VLOOKUP(A319,Monitoring!$B$25:$H$390,5,FALSE)),""))</f>
        <v/>
      </c>
      <c r="L319" s="256"/>
      <c r="M319" s="299" t="str">
        <f>IF($M$12="","",IFERROR(IF(Report!$D$4='!'!$HE$4,VLOOKUP(A319,Reference!$B$25:$H$390,6,FALSE),VLOOKUP(A319,Monitoring!$B$25:$H$390,6,FALSE)),""))</f>
        <v/>
      </c>
      <c r="N319" s="256"/>
      <c r="O319" s="299" t="str">
        <f>IF($O$12="","",IFERROR(IF(Report!$D$4='!'!$HE$4,VLOOKUP(A319,Reference!$B$25:$H$390,7,FALSE),VLOOKUP(A319,Monitoring!$B$25:$H$390,7,FALSE)),""))</f>
        <v/>
      </c>
      <c r="P319" s="51"/>
      <c r="Q319" s="151" t="str">
        <f>IF(B319='!'!$GJ$15,'!'!$GJ$15,$Q$12)</f>
        <v>N</v>
      </c>
      <c r="S319" s="4" t="str">
        <f>IFERROR(ABS(T319),'!'!$GJ$15)</f>
        <v>N</v>
      </c>
      <c r="T319" s="84" t="str">
        <f>IFERROR(+G319-D319,'!'!$GJ$15)</f>
        <v>N</v>
      </c>
      <c r="U319" s="64" t="str">
        <f t="shared" si="9"/>
        <v>N</v>
      </c>
      <c r="W319" s="153" t="str">
        <f>IFERROR(I$10*I319,'!'!$GJ$15)</f>
        <v>N</v>
      </c>
      <c r="X319" s="153" t="str">
        <f>IFERROR(K$10*K319,'!'!$GJ$15)</f>
        <v>N</v>
      </c>
      <c r="Y319" s="153" t="str">
        <f>IFERROR(M$10*M319,'!'!$GJ$15)</f>
        <v>N</v>
      </c>
      <c r="Z319" s="153" t="str">
        <f>IFERROR(O$10*O320,'!'!$GJ$15)</f>
        <v>N</v>
      </c>
    </row>
    <row r="320" spans="1:26" x14ac:dyDescent="0.35">
      <c r="A320" s="4">
        <f t="shared" si="8"/>
        <v>296</v>
      </c>
      <c r="B320" s="286" t="str">
        <f>IFERROR(IF(Report!$D$4='!'!$HE$4,VLOOKUP(A320,Reference!$B$25:$H$390,2,FALSE),VLOOKUP(A320,Monitoring!$B$25:$H$390,2,FALSE)),'!'!$GJ$15)</f>
        <v>N</v>
      </c>
      <c r="C320" s="58" t="str">
        <f>Reference!A320</f>
        <v/>
      </c>
      <c r="D320" s="287" t="str">
        <f>IFERROR(IF(Report!$D$4='!'!$HE$4,VLOOKUP(A320,Reference!$B$25:$H$390,3,FALSE),VLOOKUP(A320,Monitoring!$B$25:$H$390,3,FALSE)),'!'!$GJ$15)</f>
        <v>N</v>
      </c>
      <c r="E320" s="285"/>
      <c r="F320" s="254"/>
      <c r="G320" s="151" t="str">
        <f>IF(D320='!'!$GJ$15,'!'!$GJ$15,(SUM(W320,X320,Y320,Z319,Q320)))</f>
        <v>N</v>
      </c>
      <c r="H320" s="51"/>
      <c r="I320" s="299" t="str">
        <f>IF($I$12="","",IFERROR(IF(Report!$D$4='!'!$HE$4,VLOOKUP(A320,Reference!$B$25:$H$390,4,FALSE),VLOOKUP(A320,Monitoring!$B$25:$H$390,4,FALSE)),""))</f>
        <v/>
      </c>
      <c r="J320" s="256"/>
      <c r="K320" s="299" t="str">
        <f>IF($K$12="","",IFERROR(IF(Report!$D$4='!'!$HE$4,VLOOKUP(A320,Reference!$B$25:$H$390,5,FALSE),VLOOKUP(A320,Monitoring!$B$25:$H$390,5,FALSE)),""))</f>
        <v/>
      </c>
      <c r="L320" s="256"/>
      <c r="M320" s="299" t="str">
        <f>IF($M$12="","",IFERROR(IF(Report!$D$4='!'!$HE$4,VLOOKUP(A320,Reference!$B$25:$H$390,6,FALSE),VLOOKUP(A320,Monitoring!$B$25:$H$390,6,FALSE)),""))</f>
        <v/>
      </c>
      <c r="N320" s="256"/>
      <c r="O320" s="299" t="str">
        <f>IF($O$12="","",IFERROR(IF(Report!$D$4='!'!$HE$4,VLOOKUP(A320,Reference!$B$25:$H$390,7,FALSE),VLOOKUP(A320,Monitoring!$B$25:$H$390,7,FALSE)),""))</f>
        <v/>
      </c>
      <c r="P320" s="51"/>
      <c r="Q320" s="151" t="str">
        <f>IF(B320='!'!$GJ$15,'!'!$GJ$15,$Q$12)</f>
        <v>N</v>
      </c>
      <c r="S320" s="4" t="str">
        <f>IFERROR(ABS(T320),'!'!$GJ$15)</f>
        <v>N</v>
      </c>
      <c r="T320" s="84" t="str">
        <f>IFERROR(+G320-D320,'!'!$GJ$15)</f>
        <v>N</v>
      </c>
      <c r="U320" s="64" t="str">
        <f t="shared" si="9"/>
        <v>N</v>
      </c>
      <c r="W320" s="153" t="str">
        <f>IFERROR(I$10*I320,'!'!$GJ$15)</f>
        <v>N</v>
      </c>
      <c r="X320" s="153" t="str">
        <f>IFERROR(K$10*K320,'!'!$GJ$15)</f>
        <v>N</v>
      </c>
      <c r="Y320" s="153" t="str">
        <f>IFERROR(M$10*M320,'!'!$GJ$15)</f>
        <v>N</v>
      </c>
      <c r="Z320" s="153" t="str">
        <f>IFERROR(O$10*O321,'!'!$GJ$15)</f>
        <v>N</v>
      </c>
    </row>
    <row r="321" spans="1:26" x14ac:dyDescent="0.35">
      <c r="A321" s="4">
        <f t="shared" si="8"/>
        <v>297</v>
      </c>
      <c r="B321" s="286" t="str">
        <f>IFERROR(IF(Report!$D$4='!'!$HE$4,VLOOKUP(A321,Reference!$B$25:$H$390,2,FALSE),VLOOKUP(A321,Monitoring!$B$25:$H$390,2,FALSE)),'!'!$GJ$15)</f>
        <v>N</v>
      </c>
      <c r="C321" s="58" t="str">
        <f>Reference!A321</f>
        <v/>
      </c>
      <c r="D321" s="287" t="str">
        <f>IFERROR(IF(Report!$D$4='!'!$HE$4,VLOOKUP(A321,Reference!$B$25:$H$390,3,FALSE),VLOOKUP(A321,Monitoring!$B$25:$H$390,3,FALSE)),'!'!$GJ$15)</f>
        <v>N</v>
      </c>
      <c r="E321" s="285"/>
      <c r="F321" s="254"/>
      <c r="G321" s="151" t="str">
        <f>IF(D321='!'!$GJ$15,'!'!$GJ$15,(SUM(W321,X321,Y321,Z320,Q321)))</f>
        <v>N</v>
      </c>
      <c r="H321" s="51"/>
      <c r="I321" s="299" t="str">
        <f>IF($I$12="","",IFERROR(IF(Report!$D$4='!'!$HE$4,VLOOKUP(A321,Reference!$B$25:$H$390,4,FALSE),VLOOKUP(A321,Monitoring!$B$25:$H$390,4,FALSE)),""))</f>
        <v/>
      </c>
      <c r="J321" s="256"/>
      <c r="K321" s="299" t="str">
        <f>IF($K$12="","",IFERROR(IF(Report!$D$4='!'!$HE$4,VLOOKUP(A321,Reference!$B$25:$H$390,5,FALSE),VLOOKUP(A321,Monitoring!$B$25:$H$390,5,FALSE)),""))</f>
        <v/>
      </c>
      <c r="L321" s="256"/>
      <c r="M321" s="299" t="str">
        <f>IF($M$12="","",IFERROR(IF(Report!$D$4='!'!$HE$4,VLOOKUP(A321,Reference!$B$25:$H$390,6,FALSE),VLOOKUP(A321,Monitoring!$B$25:$H$390,6,FALSE)),""))</f>
        <v/>
      </c>
      <c r="N321" s="256"/>
      <c r="O321" s="299" t="str">
        <f>IF($O$12="","",IFERROR(IF(Report!$D$4='!'!$HE$4,VLOOKUP(A321,Reference!$B$25:$H$390,7,FALSE),VLOOKUP(A321,Monitoring!$B$25:$H$390,7,FALSE)),""))</f>
        <v/>
      </c>
      <c r="P321" s="51"/>
      <c r="Q321" s="151" t="str">
        <f>IF(B321='!'!$GJ$15,'!'!$GJ$15,$Q$12)</f>
        <v>N</v>
      </c>
      <c r="S321" s="4" t="str">
        <f>IFERROR(ABS(T321),'!'!$GJ$15)</f>
        <v>N</v>
      </c>
      <c r="T321" s="84" t="str">
        <f>IFERROR(+G321-D321,'!'!$GJ$15)</f>
        <v>N</v>
      </c>
      <c r="U321" s="64" t="str">
        <f t="shared" si="9"/>
        <v>N</v>
      </c>
      <c r="W321" s="153" t="str">
        <f>IFERROR(I$10*I321,'!'!$GJ$15)</f>
        <v>N</v>
      </c>
      <c r="X321" s="153" t="str">
        <f>IFERROR(K$10*K321,'!'!$GJ$15)</f>
        <v>N</v>
      </c>
      <c r="Y321" s="153" t="str">
        <f>IFERROR(M$10*M321,'!'!$GJ$15)</f>
        <v>N</v>
      </c>
      <c r="Z321" s="153" t="str">
        <f>IFERROR(O$10*O322,'!'!$GJ$15)</f>
        <v>N</v>
      </c>
    </row>
    <row r="322" spans="1:26" x14ac:dyDescent="0.35">
      <c r="A322" s="4">
        <f t="shared" si="8"/>
        <v>298</v>
      </c>
      <c r="B322" s="286" t="str">
        <f>IFERROR(IF(Report!$D$4='!'!$HE$4,VLOOKUP(A322,Reference!$B$25:$H$390,2,FALSE),VLOOKUP(A322,Monitoring!$B$25:$H$390,2,FALSE)),'!'!$GJ$15)</f>
        <v>N</v>
      </c>
      <c r="C322" s="58" t="str">
        <f>Reference!A322</f>
        <v/>
      </c>
      <c r="D322" s="287" t="str">
        <f>IFERROR(IF(Report!$D$4='!'!$HE$4,VLOOKUP(A322,Reference!$B$25:$H$390,3,FALSE),VLOOKUP(A322,Monitoring!$B$25:$H$390,3,FALSE)),'!'!$GJ$15)</f>
        <v>N</v>
      </c>
      <c r="E322" s="285"/>
      <c r="F322" s="254"/>
      <c r="G322" s="151" t="str">
        <f>IF(D322='!'!$GJ$15,'!'!$GJ$15,(SUM(W322,X322,Y322,Z321,Q322)))</f>
        <v>N</v>
      </c>
      <c r="H322" s="51"/>
      <c r="I322" s="299" t="str">
        <f>IF($I$12="","",IFERROR(IF(Report!$D$4='!'!$HE$4,VLOOKUP(A322,Reference!$B$25:$H$390,4,FALSE),VLOOKUP(A322,Monitoring!$B$25:$H$390,4,FALSE)),""))</f>
        <v/>
      </c>
      <c r="J322" s="256"/>
      <c r="K322" s="299" t="str">
        <f>IF($K$12="","",IFERROR(IF(Report!$D$4='!'!$HE$4,VLOOKUP(A322,Reference!$B$25:$H$390,5,FALSE),VLOOKUP(A322,Monitoring!$B$25:$H$390,5,FALSE)),""))</f>
        <v/>
      </c>
      <c r="L322" s="256"/>
      <c r="M322" s="299" t="str">
        <f>IF($M$12="","",IFERROR(IF(Report!$D$4='!'!$HE$4,VLOOKUP(A322,Reference!$B$25:$H$390,6,FALSE),VLOOKUP(A322,Monitoring!$B$25:$H$390,6,FALSE)),""))</f>
        <v/>
      </c>
      <c r="N322" s="256"/>
      <c r="O322" s="299" t="str">
        <f>IF($O$12="","",IFERROR(IF(Report!$D$4='!'!$HE$4,VLOOKUP(A322,Reference!$B$25:$H$390,7,FALSE),VLOOKUP(A322,Monitoring!$B$25:$H$390,7,FALSE)),""))</f>
        <v/>
      </c>
      <c r="P322" s="51"/>
      <c r="Q322" s="151" t="str">
        <f>IF(B322='!'!$GJ$15,'!'!$GJ$15,$Q$12)</f>
        <v>N</v>
      </c>
      <c r="S322" s="4" t="str">
        <f>IFERROR(ABS(T322),'!'!$GJ$15)</f>
        <v>N</v>
      </c>
      <c r="T322" s="84" t="str">
        <f>IFERROR(+G322-D322,'!'!$GJ$15)</f>
        <v>N</v>
      </c>
      <c r="U322" s="64" t="str">
        <f t="shared" si="9"/>
        <v>N</v>
      </c>
      <c r="W322" s="153" t="str">
        <f>IFERROR(I$10*I322,'!'!$GJ$15)</f>
        <v>N</v>
      </c>
      <c r="X322" s="153" t="str">
        <f>IFERROR(K$10*K322,'!'!$GJ$15)</f>
        <v>N</v>
      </c>
      <c r="Y322" s="153" t="str">
        <f>IFERROR(M$10*M322,'!'!$GJ$15)</f>
        <v>N</v>
      </c>
      <c r="Z322" s="153" t="str">
        <f>IFERROR(O$10*O323,'!'!$GJ$15)</f>
        <v>N</v>
      </c>
    </row>
    <row r="323" spans="1:26" x14ac:dyDescent="0.35">
      <c r="A323" s="4">
        <f t="shared" si="8"/>
        <v>299</v>
      </c>
      <c r="B323" s="286" t="str">
        <f>IFERROR(IF(Report!$D$4='!'!$HE$4,VLOOKUP(A323,Reference!$B$25:$H$390,2,FALSE),VLOOKUP(A323,Monitoring!$B$25:$H$390,2,FALSE)),'!'!$GJ$15)</f>
        <v>N</v>
      </c>
      <c r="C323" s="58" t="str">
        <f>Reference!A323</f>
        <v/>
      </c>
      <c r="D323" s="287" t="str">
        <f>IFERROR(IF(Report!$D$4='!'!$HE$4,VLOOKUP(A323,Reference!$B$25:$H$390,3,FALSE),VLOOKUP(A323,Monitoring!$B$25:$H$390,3,FALSE)),'!'!$GJ$15)</f>
        <v>N</v>
      </c>
      <c r="E323" s="285"/>
      <c r="F323" s="254"/>
      <c r="G323" s="151" t="str">
        <f>IF(D323='!'!$GJ$15,'!'!$GJ$15,(SUM(W323,X323,Y323,Z322,Q323)))</f>
        <v>N</v>
      </c>
      <c r="H323" s="51"/>
      <c r="I323" s="299" t="str">
        <f>IF($I$12="","",IFERROR(IF(Report!$D$4='!'!$HE$4,VLOOKUP(A323,Reference!$B$25:$H$390,4,FALSE),VLOOKUP(A323,Monitoring!$B$25:$H$390,4,FALSE)),""))</f>
        <v/>
      </c>
      <c r="J323" s="256"/>
      <c r="K323" s="299" t="str">
        <f>IF($K$12="","",IFERROR(IF(Report!$D$4='!'!$HE$4,VLOOKUP(A323,Reference!$B$25:$H$390,5,FALSE),VLOOKUP(A323,Monitoring!$B$25:$H$390,5,FALSE)),""))</f>
        <v/>
      </c>
      <c r="L323" s="256"/>
      <c r="M323" s="299" t="str">
        <f>IF($M$12="","",IFERROR(IF(Report!$D$4='!'!$HE$4,VLOOKUP(A323,Reference!$B$25:$H$390,6,FALSE),VLOOKUP(A323,Monitoring!$B$25:$H$390,6,FALSE)),""))</f>
        <v/>
      </c>
      <c r="N323" s="256"/>
      <c r="O323" s="299" t="str">
        <f>IF($O$12="","",IFERROR(IF(Report!$D$4='!'!$HE$4,VLOOKUP(A323,Reference!$B$25:$H$390,7,FALSE),VLOOKUP(A323,Monitoring!$B$25:$H$390,7,FALSE)),""))</f>
        <v/>
      </c>
      <c r="P323" s="51"/>
      <c r="Q323" s="151" t="str">
        <f>IF(B323='!'!$GJ$15,'!'!$GJ$15,$Q$12)</f>
        <v>N</v>
      </c>
      <c r="S323" s="4" t="str">
        <f>IFERROR(ABS(T323),'!'!$GJ$15)</f>
        <v>N</v>
      </c>
      <c r="T323" s="84" t="str">
        <f>IFERROR(+G323-D323,'!'!$GJ$15)</f>
        <v>N</v>
      </c>
      <c r="U323" s="64" t="str">
        <f t="shared" si="9"/>
        <v>N</v>
      </c>
      <c r="W323" s="153" t="str">
        <f>IFERROR(I$10*I323,'!'!$GJ$15)</f>
        <v>N</v>
      </c>
      <c r="X323" s="153" t="str">
        <f>IFERROR(K$10*K323,'!'!$GJ$15)</f>
        <v>N</v>
      </c>
      <c r="Y323" s="153" t="str">
        <f>IFERROR(M$10*M323,'!'!$GJ$15)</f>
        <v>N</v>
      </c>
      <c r="Z323" s="153" t="str">
        <f>IFERROR(O$10*O324,'!'!$GJ$15)</f>
        <v>N</v>
      </c>
    </row>
    <row r="324" spans="1:26" x14ac:dyDescent="0.35">
      <c r="A324" s="4">
        <f t="shared" si="8"/>
        <v>300</v>
      </c>
      <c r="B324" s="286" t="str">
        <f>IFERROR(IF(Report!$D$4='!'!$HE$4,VLOOKUP(A324,Reference!$B$25:$H$390,2,FALSE),VLOOKUP(A324,Monitoring!$B$25:$H$390,2,FALSE)),'!'!$GJ$15)</f>
        <v>N</v>
      </c>
      <c r="C324" s="58" t="str">
        <f>Reference!A324</f>
        <v/>
      </c>
      <c r="D324" s="287" t="str">
        <f>IFERROR(IF(Report!$D$4='!'!$HE$4,VLOOKUP(A324,Reference!$B$25:$H$390,3,FALSE),VLOOKUP(A324,Monitoring!$B$25:$H$390,3,FALSE)),'!'!$GJ$15)</f>
        <v>N</v>
      </c>
      <c r="E324" s="285"/>
      <c r="F324" s="254"/>
      <c r="G324" s="151" t="str">
        <f>IF(D324='!'!$GJ$15,'!'!$GJ$15,(SUM(W324,X324,Y324,Z323,Q324)))</f>
        <v>N</v>
      </c>
      <c r="H324" s="51"/>
      <c r="I324" s="299" t="str">
        <f>IF($I$12="","",IFERROR(IF(Report!$D$4='!'!$HE$4,VLOOKUP(A324,Reference!$B$25:$H$390,4,FALSE),VLOOKUP(A324,Monitoring!$B$25:$H$390,4,FALSE)),""))</f>
        <v/>
      </c>
      <c r="J324" s="256"/>
      <c r="K324" s="299" t="str">
        <f>IF($K$12="","",IFERROR(IF(Report!$D$4='!'!$HE$4,VLOOKUP(A324,Reference!$B$25:$H$390,5,FALSE),VLOOKUP(A324,Monitoring!$B$25:$H$390,5,FALSE)),""))</f>
        <v/>
      </c>
      <c r="L324" s="256"/>
      <c r="M324" s="299" t="str">
        <f>IF($M$12="","",IFERROR(IF(Report!$D$4='!'!$HE$4,VLOOKUP(A324,Reference!$B$25:$H$390,6,FALSE),VLOOKUP(A324,Monitoring!$B$25:$H$390,6,FALSE)),""))</f>
        <v/>
      </c>
      <c r="N324" s="256"/>
      <c r="O324" s="299" t="str">
        <f>IF($O$12="","",IFERROR(IF(Report!$D$4='!'!$HE$4,VLOOKUP(A324,Reference!$B$25:$H$390,7,FALSE),VLOOKUP(A324,Monitoring!$B$25:$H$390,7,FALSE)),""))</f>
        <v/>
      </c>
      <c r="P324" s="51"/>
      <c r="Q324" s="151" t="str">
        <f>IF(B324='!'!$GJ$15,'!'!$GJ$15,$Q$12)</f>
        <v>N</v>
      </c>
      <c r="S324" s="4" t="str">
        <f>IFERROR(ABS(T324),'!'!$GJ$15)</f>
        <v>N</v>
      </c>
      <c r="T324" s="84" t="str">
        <f>IFERROR(+G324-D324,'!'!$GJ$15)</f>
        <v>N</v>
      </c>
      <c r="U324" s="64" t="str">
        <f t="shared" si="9"/>
        <v>N</v>
      </c>
      <c r="W324" s="153" t="str">
        <f>IFERROR(I$10*I324,'!'!$GJ$15)</f>
        <v>N</v>
      </c>
      <c r="X324" s="153" t="str">
        <f>IFERROR(K$10*K324,'!'!$GJ$15)</f>
        <v>N</v>
      </c>
      <c r="Y324" s="153" t="str">
        <f>IFERROR(M$10*M324,'!'!$GJ$15)</f>
        <v>N</v>
      </c>
      <c r="Z324" s="153" t="str">
        <f>IFERROR(O$10*O325,'!'!$GJ$15)</f>
        <v>N</v>
      </c>
    </row>
    <row r="325" spans="1:26" x14ac:dyDescent="0.35">
      <c r="A325" s="4">
        <f t="shared" si="8"/>
        <v>301</v>
      </c>
      <c r="B325" s="286" t="str">
        <f>IFERROR(IF(Report!$D$4='!'!$HE$4,VLOOKUP(A325,Reference!$B$25:$H$390,2,FALSE),VLOOKUP(A325,Monitoring!$B$25:$H$390,2,FALSE)),'!'!$GJ$15)</f>
        <v>N</v>
      </c>
      <c r="C325" s="58" t="str">
        <f>Reference!A325</f>
        <v/>
      </c>
      <c r="D325" s="287" t="str">
        <f>IFERROR(IF(Report!$D$4='!'!$HE$4,VLOOKUP(A325,Reference!$B$25:$H$390,3,FALSE),VLOOKUP(A325,Monitoring!$B$25:$H$390,3,FALSE)),'!'!$GJ$15)</f>
        <v>N</v>
      </c>
      <c r="E325" s="285"/>
      <c r="F325" s="254"/>
      <c r="G325" s="151" t="str">
        <f>IF(D325='!'!$GJ$15,'!'!$GJ$15,(SUM(W325,X325,Y325,Z324,Q325)))</f>
        <v>N</v>
      </c>
      <c r="H325" s="51"/>
      <c r="I325" s="299" t="str">
        <f>IF($I$12="","",IFERROR(IF(Report!$D$4='!'!$HE$4,VLOOKUP(A325,Reference!$B$25:$H$390,4,FALSE),VLOOKUP(A325,Monitoring!$B$25:$H$390,4,FALSE)),""))</f>
        <v/>
      </c>
      <c r="J325" s="256"/>
      <c r="K325" s="299" t="str">
        <f>IF($K$12="","",IFERROR(IF(Report!$D$4='!'!$HE$4,VLOOKUP(A325,Reference!$B$25:$H$390,5,FALSE),VLOOKUP(A325,Monitoring!$B$25:$H$390,5,FALSE)),""))</f>
        <v/>
      </c>
      <c r="L325" s="256"/>
      <c r="M325" s="299" t="str">
        <f>IF($M$12="","",IFERROR(IF(Report!$D$4='!'!$HE$4,VLOOKUP(A325,Reference!$B$25:$H$390,6,FALSE),VLOOKUP(A325,Monitoring!$B$25:$H$390,6,FALSE)),""))</f>
        <v/>
      </c>
      <c r="N325" s="256"/>
      <c r="O325" s="299" t="str">
        <f>IF($O$12="","",IFERROR(IF(Report!$D$4='!'!$HE$4,VLOOKUP(A325,Reference!$B$25:$H$390,7,FALSE),VLOOKUP(A325,Monitoring!$B$25:$H$390,7,FALSE)),""))</f>
        <v/>
      </c>
      <c r="P325" s="51"/>
      <c r="Q325" s="151" t="str">
        <f>IF(B325='!'!$GJ$15,'!'!$GJ$15,$Q$12)</f>
        <v>N</v>
      </c>
      <c r="S325" s="4" t="str">
        <f>IFERROR(ABS(T325),'!'!$GJ$15)</f>
        <v>N</v>
      </c>
      <c r="T325" s="84" t="str">
        <f>IFERROR(+G325-D325,'!'!$GJ$15)</f>
        <v>N</v>
      </c>
      <c r="U325" s="64" t="str">
        <f t="shared" si="9"/>
        <v>N</v>
      </c>
      <c r="W325" s="153" t="str">
        <f>IFERROR(I$10*I325,'!'!$GJ$15)</f>
        <v>N</v>
      </c>
      <c r="X325" s="153" t="str">
        <f>IFERROR(K$10*K325,'!'!$GJ$15)</f>
        <v>N</v>
      </c>
      <c r="Y325" s="153" t="str">
        <f>IFERROR(M$10*M325,'!'!$GJ$15)</f>
        <v>N</v>
      </c>
      <c r="Z325" s="153" t="str">
        <f>IFERROR(O$10*O326,'!'!$GJ$15)</f>
        <v>N</v>
      </c>
    </row>
    <row r="326" spans="1:26" x14ac:dyDescent="0.35">
      <c r="A326" s="4">
        <f t="shared" si="8"/>
        <v>302</v>
      </c>
      <c r="B326" s="286" t="str">
        <f>IFERROR(IF(Report!$D$4='!'!$HE$4,VLOOKUP(A326,Reference!$B$25:$H$390,2,FALSE),VLOOKUP(A326,Monitoring!$B$25:$H$390,2,FALSE)),'!'!$GJ$15)</f>
        <v>N</v>
      </c>
      <c r="C326" s="58" t="str">
        <f>Reference!A326</f>
        <v/>
      </c>
      <c r="D326" s="287" t="str">
        <f>IFERROR(IF(Report!$D$4='!'!$HE$4,VLOOKUP(A326,Reference!$B$25:$H$390,3,FALSE),VLOOKUP(A326,Monitoring!$B$25:$H$390,3,FALSE)),'!'!$GJ$15)</f>
        <v>N</v>
      </c>
      <c r="E326" s="285"/>
      <c r="F326" s="254"/>
      <c r="G326" s="151" t="str">
        <f>IF(D326='!'!$GJ$15,'!'!$GJ$15,(SUM(W326,X326,Y326,Z325,Q326)))</f>
        <v>N</v>
      </c>
      <c r="H326" s="51"/>
      <c r="I326" s="299" t="str">
        <f>IF($I$12="","",IFERROR(IF(Report!$D$4='!'!$HE$4,VLOOKUP(A326,Reference!$B$25:$H$390,4,FALSE),VLOOKUP(A326,Monitoring!$B$25:$H$390,4,FALSE)),""))</f>
        <v/>
      </c>
      <c r="J326" s="256"/>
      <c r="K326" s="299" t="str">
        <f>IF($K$12="","",IFERROR(IF(Report!$D$4='!'!$HE$4,VLOOKUP(A326,Reference!$B$25:$H$390,5,FALSE),VLOOKUP(A326,Monitoring!$B$25:$H$390,5,FALSE)),""))</f>
        <v/>
      </c>
      <c r="L326" s="256"/>
      <c r="M326" s="299" t="str">
        <f>IF($M$12="","",IFERROR(IF(Report!$D$4='!'!$HE$4,VLOOKUP(A326,Reference!$B$25:$H$390,6,FALSE),VLOOKUP(A326,Monitoring!$B$25:$H$390,6,FALSE)),""))</f>
        <v/>
      </c>
      <c r="N326" s="256"/>
      <c r="O326" s="299" t="str">
        <f>IF($O$12="","",IFERROR(IF(Report!$D$4='!'!$HE$4,VLOOKUP(A326,Reference!$B$25:$H$390,7,FALSE),VLOOKUP(A326,Monitoring!$B$25:$H$390,7,FALSE)),""))</f>
        <v/>
      </c>
      <c r="P326" s="51"/>
      <c r="Q326" s="151" t="str">
        <f>IF(B326='!'!$GJ$15,'!'!$GJ$15,$Q$12)</f>
        <v>N</v>
      </c>
      <c r="S326" s="4" t="str">
        <f>IFERROR(ABS(T326),'!'!$GJ$15)</f>
        <v>N</v>
      </c>
      <c r="T326" s="84" t="str">
        <f>IFERROR(+G326-D326,'!'!$GJ$15)</f>
        <v>N</v>
      </c>
      <c r="U326" s="64" t="str">
        <f t="shared" si="9"/>
        <v>N</v>
      </c>
      <c r="W326" s="153" t="str">
        <f>IFERROR(I$10*I326,'!'!$GJ$15)</f>
        <v>N</v>
      </c>
      <c r="X326" s="153" t="str">
        <f>IFERROR(K$10*K326,'!'!$GJ$15)</f>
        <v>N</v>
      </c>
      <c r="Y326" s="153" t="str">
        <f>IFERROR(M$10*M326,'!'!$GJ$15)</f>
        <v>N</v>
      </c>
      <c r="Z326" s="153" t="str">
        <f>IFERROR(O$10*O327,'!'!$GJ$15)</f>
        <v>N</v>
      </c>
    </row>
    <row r="327" spans="1:26" x14ac:dyDescent="0.35">
      <c r="A327" s="4">
        <f t="shared" si="8"/>
        <v>303</v>
      </c>
      <c r="B327" s="286" t="str">
        <f>IFERROR(IF(Report!$D$4='!'!$HE$4,VLOOKUP(A327,Reference!$B$25:$H$390,2,FALSE),VLOOKUP(A327,Monitoring!$B$25:$H$390,2,FALSE)),'!'!$GJ$15)</f>
        <v>N</v>
      </c>
      <c r="C327" s="58" t="str">
        <f>Reference!A327</f>
        <v/>
      </c>
      <c r="D327" s="287" t="str">
        <f>IFERROR(IF(Report!$D$4='!'!$HE$4,VLOOKUP(A327,Reference!$B$25:$H$390,3,FALSE),VLOOKUP(A327,Monitoring!$B$25:$H$390,3,FALSE)),'!'!$GJ$15)</f>
        <v>N</v>
      </c>
      <c r="E327" s="285"/>
      <c r="F327" s="254"/>
      <c r="G327" s="151" t="str">
        <f>IF(D327='!'!$GJ$15,'!'!$GJ$15,(SUM(W327,X327,Y327,Z326,Q327)))</f>
        <v>N</v>
      </c>
      <c r="H327" s="51"/>
      <c r="I327" s="299" t="str">
        <f>IF($I$12="","",IFERROR(IF(Report!$D$4='!'!$HE$4,VLOOKUP(A327,Reference!$B$25:$H$390,4,FALSE),VLOOKUP(A327,Monitoring!$B$25:$H$390,4,FALSE)),""))</f>
        <v/>
      </c>
      <c r="J327" s="256"/>
      <c r="K327" s="299" t="str">
        <f>IF($K$12="","",IFERROR(IF(Report!$D$4='!'!$HE$4,VLOOKUP(A327,Reference!$B$25:$H$390,5,FALSE),VLOOKUP(A327,Monitoring!$B$25:$H$390,5,FALSE)),""))</f>
        <v/>
      </c>
      <c r="L327" s="256"/>
      <c r="M327" s="299" t="str">
        <f>IF($M$12="","",IFERROR(IF(Report!$D$4='!'!$HE$4,VLOOKUP(A327,Reference!$B$25:$H$390,6,FALSE),VLOOKUP(A327,Monitoring!$B$25:$H$390,6,FALSE)),""))</f>
        <v/>
      </c>
      <c r="N327" s="256"/>
      <c r="O327" s="299" t="str">
        <f>IF($O$12="","",IFERROR(IF(Report!$D$4='!'!$HE$4,VLOOKUP(A327,Reference!$B$25:$H$390,7,FALSE),VLOOKUP(A327,Monitoring!$B$25:$H$390,7,FALSE)),""))</f>
        <v/>
      </c>
      <c r="P327" s="51"/>
      <c r="Q327" s="151" t="str">
        <f>IF(B327='!'!$GJ$15,'!'!$GJ$15,$Q$12)</f>
        <v>N</v>
      </c>
      <c r="S327" s="4" t="str">
        <f>IFERROR(ABS(T327),'!'!$GJ$15)</f>
        <v>N</v>
      </c>
      <c r="T327" s="84" t="str">
        <f>IFERROR(+G327-D327,'!'!$GJ$15)</f>
        <v>N</v>
      </c>
      <c r="U327" s="64" t="str">
        <f t="shared" si="9"/>
        <v>N</v>
      </c>
      <c r="W327" s="153" t="str">
        <f>IFERROR(I$10*I327,'!'!$GJ$15)</f>
        <v>N</v>
      </c>
      <c r="X327" s="153" t="str">
        <f>IFERROR(K$10*K327,'!'!$GJ$15)</f>
        <v>N</v>
      </c>
      <c r="Y327" s="153" t="str">
        <f>IFERROR(M$10*M327,'!'!$GJ$15)</f>
        <v>N</v>
      </c>
      <c r="Z327" s="153" t="str">
        <f>IFERROR(O$10*O328,'!'!$GJ$15)</f>
        <v>N</v>
      </c>
    </row>
    <row r="328" spans="1:26" x14ac:dyDescent="0.35">
      <c r="A328" s="4">
        <f t="shared" si="8"/>
        <v>304</v>
      </c>
      <c r="B328" s="286" t="str">
        <f>IFERROR(IF(Report!$D$4='!'!$HE$4,VLOOKUP(A328,Reference!$B$25:$H$390,2,FALSE),VLOOKUP(A328,Monitoring!$B$25:$H$390,2,FALSE)),'!'!$GJ$15)</f>
        <v>N</v>
      </c>
      <c r="C328" s="58" t="str">
        <f>Reference!A328</f>
        <v/>
      </c>
      <c r="D328" s="287" t="str">
        <f>IFERROR(IF(Report!$D$4='!'!$HE$4,VLOOKUP(A328,Reference!$B$25:$H$390,3,FALSE),VLOOKUP(A328,Monitoring!$B$25:$H$390,3,FALSE)),'!'!$GJ$15)</f>
        <v>N</v>
      </c>
      <c r="E328" s="285"/>
      <c r="F328" s="254"/>
      <c r="G328" s="151" t="str">
        <f>IF(D328='!'!$GJ$15,'!'!$GJ$15,(SUM(W328,X328,Y328,Z327,Q328)))</f>
        <v>N</v>
      </c>
      <c r="H328" s="51"/>
      <c r="I328" s="299" t="str">
        <f>IF($I$12="","",IFERROR(IF(Report!$D$4='!'!$HE$4,VLOOKUP(A328,Reference!$B$25:$H$390,4,FALSE),VLOOKUP(A328,Monitoring!$B$25:$H$390,4,FALSE)),""))</f>
        <v/>
      </c>
      <c r="J328" s="256"/>
      <c r="K328" s="299" t="str">
        <f>IF($K$12="","",IFERROR(IF(Report!$D$4='!'!$HE$4,VLOOKUP(A328,Reference!$B$25:$H$390,5,FALSE),VLOOKUP(A328,Monitoring!$B$25:$H$390,5,FALSE)),""))</f>
        <v/>
      </c>
      <c r="L328" s="256"/>
      <c r="M328" s="299" t="str">
        <f>IF($M$12="","",IFERROR(IF(Report!$D$4='!'!$HE$4,VLOOKUP(A328,Reference!$B$25:$H$390,6,FALSE),VLOOKUP(A328,Monitoring!$B$25:$H$390,6,FALSE)),""))</f>
        <v/>
      </c>
      <c r="N328" s="256"/>
      <c r="O328" s="299" t="str">
        <f>IF($O$12="","",IFERROR(IF(Report!$D$4='!'!$HE$4,VLOOKUP(A328,Reference!$B$25:$H$390,7,FALSE),VLOOKUP(A328,Monitoring!$B$25:$H$390,7,FALSE)),""))</f>
        <v/>
      </c>
      <c r="P328" s="51"/>
      <c r="Q328" s="151" t="str">
        <f>IF(B328='!'!$GJ$15,'!'!$GJ$15,$Q$12)</f>
        <v>N</v>
      </c>
      <c r="S328" s="4" t="str">
        <f>IFERROR(ABS(T328),'!'!$GJ$15)</f>
        <v>N</v>
      </c>
      <c r="T328" s="84" t="str">
        <f>IFERROR(+G328-D328,'!'!$GJ$15)</f>
        <v>N</v>
      </c>
      <c r="U328" s="64" t="str">
        <f t="shared" si="9"/>
        <v>N</v>
      </c>
      <c r="W328" s="153" t="str">
        <f>IFERROR(I$10*I328,'!'!$GJ$15)</f>
        <v>N</v>
      </c>
      <c r="X328" s="153" t="str">
        <f>IFERROR(K$10*K328,'!'!$GJ$15)</f>
        <v>N</v>
      </c>
      <c r="Y328" s="153" t="str">
        <f>IFERROR(M$10*M328,'!'!$GJ$15)</f>
        <v>N</v>
      </c>
      <c r="Z328" s="153" t="str">
        <f>IFERROR(O$10*O329,'!'!$GJ$15)</f>
        <v>N</v>
      </c>
    </row>
    <row r="329" spans="1:26" x14ac:dyDescent="0.35">
      <c r="A329" s="4">
        <f t="shared" si="8"/>
        <v>305</v>
      </c>
      <c r="B329" s="286" t="str">
        <f>IFERROR(IF(Report!$D$4='!'!$HE$4,VLOOKUP(A329,Reference!$B$25:$H$390,2,FALSE),VLOOKUP(A329,Monitoring!$B$25:$H$390,2,FALSE)),'!'!$GJ$15)</f>
        <v>N</v>
      </c>
      <c r="C329" s="58" t="str">
        <f>Reference!A329</f>
        <v/>
      </c>
      <c r="D329" s="287" t="str">
        <f>IFERROR(IF(Report!$D$4='!'!$HE$4,VLOOKUP(A329,Reference!$B$25:$H$390,3,FALSE),VLOOKUP(A329,Monitoring!$B$25:$H$390,3,FALSE)),'!'!$GJ$15)</f>
        <v>N</v>
      </c>
      <c r="E329" s="285"/>
      <c r="F329" s="254"/>
      <c r="G329" s="151" t="str">
        <f>IF(D329='!'!$GJ$15,'!'!$GJ$15,(SUM(W329,X329,Y329,Z328,Q329)))</f>
        <v>N</v>
      </c>
      <c r="H329" s="51"/>
      <c r="I329" s="299" t="str">
        <f>IF($I$12="","",IFERROR(IF(Report!$D$4='!'!$HE$4,VLOOKUP(A329,Reference!$B$25:$H$390,4,FALSE),VLOOKUP(A329,Monitoring!$B$25:$H$390,4,FALSE)),""))</f>
        <v/>
      </c>
      <c r="J329" s="256"/>
      <c r="K329" s="299" t="str">
        <f>IF($K$12="","",IFERROR(IF(Report!$D$4='!'!$HE$4,VLOOKUP(A329,Reference!$B$25:$H$390,5,FALSE),VLOOKUP(A329,Monitoring!$B$25:$H$390,5,FALSE)),""))</f>
        <v/>
      </c>
      <c r="L329" s="256"/>
      <c r="M329" s="299" t="str">
        <f>IF($M$12="","",IFERROR(IF(Report!$D$4='!'!$HE$4,VLOOKUP(A329,Reference!$B$25:$H$390,6,FALSE),VLOOKUP(A329,Monitoring!$B$25:$H$390,6,FALSE)),""))</f>
        <v/>
      </c>
      <c r="N329" s="256"/>
      <c r="O329" s="299" t="str">
        <f>IF($O$12="","",IFERROR(IF(Report!$D$4='!'!$HE$4,VLOOKUP(A329,Reference!$B$25:$H$390,7,FALSE),VLOOKUP(A329,Monitoring!$B$25:$H$390,7,FALSE)),""))</f>
        <v/>
      </c>
      <c r="P329" s="51"/>
      <c r="Q329" s="151" t="str">
        <f>IF(B329='!'!$GJ$15,'!'!$GJ$15,$Q$12)</f>
        <v>N</v>
      </c>
      <c r="S329" s="4" t="str">
        <f>IFERROR(ABS(T329),'!'!$GJ$15)</f>
        <v>N</v>
      </c>
      <c r="T329" s="84" t="str">
        <f>IFERROR(+G329-D329,'!'!$GJ$15)</f>
        <v>N</v>
      </c>
      <c r="U329" s="64" t="str">
        <f t="shared" si="9"/>
        <v>N</v>
      </c>
      <c r="W329" s="153" t="str">
        <f>IFERROR(I$10*I329,'!'!$GJ$15)</f>
        <v>N</v>
      </c>
      <c r="X329" s="153" t="str">
        <f>IFERROR(K$10*K329,'!'!$GJ$15)</f>
        <v>N</v>
      </c>
      <c r="Y329" s="153" t="str">
        <f>IFERROR(M$10*M329,'!'!$GJ$15)</f>
        <v>N</v>
      </c>
      <c r="Z329" s="153" t="str">
        <f>IFERROR(O$10*O330,'!'!$GJ$15)</f>
        <v>N</v>
      </c>
    </row>
    <row r="330" spans="1:26" x14ac:dyDescent="0.35">
      <c r="A330" s="4">
        <f t="shared" si="8"/>
        <v>306</v>
      </c>
      <c r="B330" s="286" t="str">
        <f>IFERROR(IF(Report!$D$4='!'!$HE$4,VLOOKUP(A330,Reference!$B$25:$H$390,2,FALSE),VLOOKUP(A330,Monitoring!$B$25:$H$390,2,FALSE)),'!'!$GJ$15)</f>
        <v>N</v>
      </c>
      <c r="C330" s="58" t="str">
        <f>Reference!A330</f>
        <v/>
      </c>
      <c r="D330" s="287" t="str">
        <f>IFERROR(IF(Report!$D$4='!'!$HE$4,VLOOKUP(A330,Reference!$B$25:$H$390,3,FALSE),VLOOKUP(A330,Monitoring!$B$25:$H$390,3,FALSE)),'!'!$GJ$15)</f>
        <v>N</v>
      </c>
      <c r="E330" s="285"/>
      <c r="F330" s="254"/>
      <c r="G330" s="151" t="str">
        <f>IF(D330='!'!$GJ$15,'!'!$GJ$15,(SUM(W330,X330,Y330,Z329,Q330)))</f>
        <v>N</v>
      </c>
      <c r="H330" s="51"/>
      <c r="I330" s="299" t="str">
        <f>IF($I$12="","",IFERROR(IF(Report!$D$4='!'!$HE$4,VLOOKUP(A330,Reference!$B$25:$H$390,4,FALSE),VLOOKUP(A330,Monitoring!$B$25:$H$390,4,FALSE)),""))</f>
        <v/>
      </c>
      <c r="J330" s="256"/>
      <c r="K330" s="299" t="str">
        <f>IF($K$12="","",IFERROR(IF(Report!$D$4='!'!$HE$4,VLOOKUP(A330,Reference!$B$25:$H$390,5,FALSE),VLOOKUP(A330,Monitoring!$B$25:$H$390,5,FALSE)),""))</f>
        <v/>
      </c>
      <c r="L330" s="256"/>
      <c r="M330" s="299" t="str">
        <f>IF($M$12="","",IFERROR(IF(Report!$D$4='!'!$HE$4,VLOOKUP(A330,Reference!$B$25:$H$390,6,FALSE),VLOOKUP(A330,Monitoring!$B$25:$H$390,6,FALSE)),""))</f>
        <v/>
      </c>
      <c r="N330" s="256"/>
      <c r="O330" s="299" t="str">
        <f>IF($O$12="","",IFERROR(IF(Report!$D$4='!'!$HE$4,VLOOKUP(A330,Reference!$B$25:$H$390,7,FALSE),VLOOKUP(A330,Monitoring!$B$25:$H$390,7,FALSE)),""))</f>
        <v/>
      </c>
      <c r="P330" s="51"/>
      <c r="Q330" s="151" t="str">
        <f>IF(B330='!'!$GJ$15,'!'!$GJ$15,$Q$12)</f>
        <v>N</v>
      </c>
      <c r="S330" s="4" t="str">
        <f>IFERROR(ABS(T330),'!'!$GJ$15)</f>
        <v>N</v>
      </c>
      <c r="T330" s="84" t="str">
        <f>IFERROR(+G330-D330,'!'!$GJ$15)</f>
        <v>N</v>
      </c>
      <c r="U330" s="64" t="str">
        <f t="shared" si="9"/>
        <v>N</v>
      </c>
      <c r="W330" s="153" t="str">
        <f>IFERROR(I$10*I330,'!'!$GJ$15)</f>
        <v>N</v>
      </c>
      <c r="X330" s="153" t="str">
        <f>IFERROR(K$10*K330,'!'!$GJ$15)</f>
        <v>N</v>
      </c>
      <c r="Y330" s="153" t="str">
        <f>IFERROR(M$10*M330,'!'!$GJ$15)</f>
        <v>N</v>
      </c>
      <c r="Z330" s="153" t="str">
        <f>IFERROR(O$10*O331,'!'!$GJ$15)</f>
        <v>N</v>
      </c>
    </row>
    <row r="331" spans="1:26" x14ac:dyDescent="0.35">
      <c r="A331" s="4">
        <f t="shared" si="8"/>
        <v>307</v>
      </c>
      <c r="B331" s="286" t="str">
        <f>IFERROR(IF(Report!$D$4='!'!$HE$4,VLOOKUP(A331,Reference!$B$25:$H$390,2,FALSE),VLOOKUP(A331,Monitoring!$B$25:$H$390,2,FALSE)),'!'!$GJ$15)</f>
        <v>N</v>
      </c>
      <c r="C331" s="58" t="str">
        <f>Reference!A331</f>
        <v/>
      </c>
      <c r="D331" s="287" t="str">
        <f>IFERROR(IF(Report!$D$4='!'!$HE$4,VLOOKUP(A331,Reference!$B$25:$H$390,3,FALSE),VLOOKUP(A331,Monitoring!$B$25:$H$390,3,FALSE)),'!'!$GJ$15)</f>
        <v>N</v>
      </c>
      <c r="E331" s="285"/>
      <c r="F331" s="254"/>
      <c r="G331" s="151" t="str">
        <f>IF(D331='!'!$GJ$15,'!'!$GJ$15,(SUM(W331,X331,Y331,Z330,Q331)))</f>
        <v>N</v>
      </c>
      <c r="H331" s="51"/>
      <c r="I331" s="299" t="str">
        <f>IF($I$12="","",IFERROR(IF(Report!$D$4='!'!$HE$4,VLOOKUP(A331,Reference!$B$25:$H$390,4,FALSE),VLOOKUP(A331,Monitoring!$B$25:$H$390,4,FALSE)),""))</f>
        <v/>
      </c>
      <c r="J331" s="256"/>
      <c r="K331" s="299" t="str">
        <f>IF($K$12="","",IFERROR(IF(Report!$D$4='!'!$HE$4,VLOOKUP(A331,Reference!$B$25:$H$390,5,FALSE),VLOOKUP(A331,Monitoring!$B$25:$H$390,5,FALSE)),""))</f>
        <v/>
      </c>
      <c r="L331" s="256"/>
      <c r="M331" s="299" t="str">
        <f>IF($M$12="","",IFERROR(IF(Report!$D$4='!'!$HE$4,VLOOKUP(A331,Reference!$B$25:$H$390,6,FALSE),VLOOKUP(A331,Monitoring!$B$25:$H$390,6,FALSE)),""))</f>
        <v/>
      </c>
      <c r="N331" s="256"/>
      <c r="O331" s="299" t="str">
        <f>IF($O$12="","",IFERROR(IF(Report!$D$4='!'!$HE$4,VLOOKUP(A331,Reference!$B$25:$H$390,7,FALSE),VLOOKUP(A331,Monitoring!$B$25:$H$390,7,FALSE)),""))</f>
        <v/>
      </c>
      <c r="P331" s="51"/>
      <c r="Q331" s="151" t="str">
        <f>IF(B331='!'!$GJ$15,'!'!$GJ$15,$Q$12)</f>
        <v>N</v>
      </c>
      <c r="S331" s="4" t="str">
        <f>IFERROR(ABS(T331),'!'!$GJ$15)</f>
        <v>N</v>
      </c>
      <c r="T331" s="84" t="str">
        <f>IFERROR(+G331-D331,'!'!$GJ$15)</f>
        <v>N</v>
      </c>
      <c r="U331" s="64" t="str">
        <f t="shared" si="9"/>
        <v>N</v>
      </c>
      <c r="W331" s="153" t="str">
        <f>IFERROR(I$10*I331,'!'!$GJ$15)</f>
        <v>N</v>
      </c>
      <c r="X331" s="153" t="str">
        <f>IFERROR(K$10*K331,'!'!$GJ$15)</f>
        <v>N</v>
      </c>
      <c r="Y331" s="153" t="str">
        <f>IFERROR(M$10*M331,'!'!$GJ$15)</f>
        <v>N</v>
      </c>
      <c r="Z331" s="153" t="str">
        <f>IFERROR(O$10*O332,'!'!$GJ$15)</f>
        <v>N</v>
      </c>
    </row>
    <row r="332" spans="1:26" x14ac:dyDescent="0.35">
      <c r="A332" s="4">
        <f t="shared" si="8"/>
        <v>308</v>
      </c>
      <c r="B332" s="286" t="str">
        <f>IFERROR(IF(Report!$D$4='!'!$HE$4,VLOOKUP(A332,Reference!$B$25:$H$390,2,FALSE),VLOOKUP(A332,Monitoring!$B$25:$H$390,2,FALSE)),'!'!$GJ$15)</f>
        <v>N</v>
      </c>
      <c r="C332" s="58" t="str">
        <f>Reference!A332</f>
        <v/>
      </c>
      <c r="D332" s="287" t="str">
        <f>IFERROR(IF(Report!$D$4='!'!$HE$4,VLOOKUP(A332,Reference!$B$25:$H$390,3,FALSE),VLOOKUP(A332,Monitoring!$B$25:$H$390,3,FALSE)),'!'!$GJ$15)</f>
        <v>N</v>
      </c>
      <c r="E332" s="285"/>
      <c r="F332" s="254"/>
      <c r="G332" s="151" t="str">
        <f>IF(D332='!'!$GJ$15,'!'!$GJ$15,(SUM(W332,X332,Y332,Z331,Q332)))</f>
        <v>N</v>
      </c>
      <c r="H332" s="51"/>
      <c r="I332" s="299" t="str">
        <f>IF($I$12="","",IFERROR(IF(Report!$D$4='!'!$HE$4,VLOOKUP(A332,Reference!$B$25:$H$390,4,FALSE),VLOOKUP(A332,Monitoring!$B$25:$H$390,4,FALSE)),""))</f>
        <v/>
      </c>
      <c r="J332" s="256"/>
      <c r="K332" s="299" t="str">
        <f>IF($K$12="","",IFERROR(IF(Report!$D$4='!'!$HE$4,VLOOKUP(A332,Reference!$B$25:$H$390,5,FALSE),VLOOKUP(A332,Monitoring!$B$25:$H$390,5,FALSE)),""))</f>
        <v/>
      </c>
      <c r="L332" s="256"/>
      <c r="M332" s="299" t="str">
        <f>IF($M$12="","",IFERROR(IF(Report!$D$4='!'!$HE$4,VLOOKUP(A332,Reference!$B$25:$H$390,6,FALSE),VLOOKUP(A332,Monitoring!$B$25:$H$390,6,FALSE)),""))</f>
        <v/>
      </c>
      <c r="N332" s="256"/>
      <c r="O332" s="299" t="str">
        <f>IF($O$12="","",IFERROR(IF(Report!$D$4='!'!$HE$4,VLOOKUP(A332,Reference!$B$25:$H$390,7,FALSE),VLOOKUP(A332,Monitoring!$B$25:$H$390,7,FALSE)),""))</f>
        <v/>
      </c>
      <c r="P332" s="51"/>
      <c r="Q332" s="151" t="str">
        <f>IF(B332='!'!$GJ$15,'!'!$GJ$15,$Q$12)</f>
        <v>N</v>
      </c>
      <c r="S332" s="4" t="str">
        <f>IFERROR(ABS(T332),'!'!$GJ$15)</f>
        <v>N</v>
      </c>
      <c r="T332" s="84" t="str">
        <f>IFERROR(+G332-D332,'!'!$GJ$15)</f>
        <v>N</v>
      </c>
      <c r="U332" s="64" t="str">
        <f t="shared" si="9"/>
        <v>N</v>
      </c>
      <c r="W332" s="153" t="str">
        <f>IFERROR(I$10*I332,'!'!$GJ$15)</f>
        <v>N</v>
      </c>
      <c r="X332" s="153" t="str">
        <f>IFERROR(K$10*K332,'!'!$GJ$15)</f>
        <v>N</v>
      </c>
      <c r="Y332" s="153" t="str">
        <f>IFERROR(M$10*M332,'!'!$GJ$15)</f>
        <v>N</v>
      </c>
      <c r="Z332" s="153" t="str">
        <f>IFERROR(O$10*O333,'!'!$GJ$15)</f>
        <v>N</v>
      </c>
    </row>
    <row r="333" spans="1:26" x14ac:dyDescent="0.35">
      <c r="A333" s="4">
        <f t="shared" si="8"/>
        <v>309</v>
      </c>
      <c r="B333" s="286" t="str">
        <f>IFERROR(IF(Report!$D$4='!'!$HE$4,VLOOKUP(A333,Reference!$B$25:$H$390,2,FALSE),VLOOKUP(A333,Monitoring!$B$25:$H$390,2,FALSE)),'!'!$GJ$15)</f>
        <v>N</v>
      </c>
      <c r="C333" s="58" t="str">
        <f>Reference!A333</f>
        <v/>
      </c>
      <c r="D333" s="287" t="str">
        <f>IFERROR(IF(Report!$D$4='!'!$HE$4,VLOOKUP(A333,Reference!$B$25:$H$390,3,FALSE),VLOOKUP(A333,Monitoring!$B$25:$H$390,3,FALSE)),'!'!$GJ$15)</f>
        <v>N</v>
      </c>
      <c r="E333" s="285"/>
      <c r="F333" s="254"/>
      <c r="G333" s="151" t="str">
        <f>IF(D333='!'!$GJ$15,'!'!$GJ$15,(SUM(W333,X333,Y333,Z332,Q333)))</f>
        <v>N</v>
      </c>
      <c r="H333" s="51"/>
      <c r="I333" s="299" t="str">
        <f>IF($I$12="","",IFERROR(IF(Report!$D$4='!'!$HE$4,VLOOKUP(A333,Reference!$B$25:$H$390,4,FALSE),VLOOKUP(A333,Monitoring!$B$25:$H$390,4,FALSE)),""))</f>
        <v/>
      </c>
      <c r="J333" s="256"/>
      <c r="K333" s="299" t="str">
        <f>IF($K$12="","",IFERROR(IF(Report!$D$4='!'!$HE$4,VLOOKUP(A333,Reference!$B$25:$H$390,5,FALSE),VLOOKUP(A333,Monitoring!$B$25:$H$390,5,FALSE)),""))</f>
        <v/>
      </c>
      <c r="L333" s="256"/>
      <c r="M333" s="299" t="str">
        <f>IF($M$12="","",IFERROR(IF(Report!$D$4='!'!$HE$4,VLOOKUP(A333,Reference!$B$25:$H$390,6,FALSE),VLOOKUP(A333,Monitoring!$B$25:$H$390,6,FALSE)),""))</f>
        <v/>
      </c>
      <c r="N333" s="256"/>
      <c r="O333" s="299" t="str">
        <f>IF($O$12="","",IFERROR(IF(Report!$D$4='!'!$HE$4,VLOOKUP(A333,Reference!$B$25:$H$390,7,FALSE),VLOOKUP(A333,Monitoring!$B$25:$H$390,7,FALSE)),""))</f>
        <v/>
      </c>
      <c r="P333" s="51"/>
      <c r="Q333" s="151" t="str">
        <f>IF(B333='!'!$GJ$15,'!'!$GJ$15,$Q$12)</f>
        <v>N</v>
      </c>
      <c r="S333" s="4" t="str">
        <f>IFERROR(ABS(T333),'!'!$GJ$15)</f>
        <v>N</v>
      </c>
      <c r="T333" s="84" t="str">
        <f>IFERROR(+G333-D333,'!'!$GJ$15)</f>
        <v>N</v>
      </c>
      <c r="U333" s="64" t="str">
        <f t="shared" si="9"/>
        <v>N</v>
      </c>
      <c r="W333" s="153" t="str">
        <f>IFERROR(I$10*I333,'!'!$GJ$15)</f>
        <v>N</v>
      </c>
      <c r="X333" s="153" t="str">
        <f>IFERROR(K$10*K333,'!'!$GJ$15)</f>
        <v>N</v>
      </c>
      <c r="Y333" s="153" t="str">
        <f>IFERROR(M$10*M333,'!'!$GJ$15)</f>
        <v>N</v>
      </c>
      <c r="Z333" s="153" t="str">
        <f>IFERROR(O$10*O334,'!'!$GJ$15)</f>
        <v>N</v>
      </c>
    </row>
    <row r="334" spans="1:26" x14ac:dyDescent="0.35">
      <c r="A334" s="4">
        <f t="shared" si="8"/>
        <v>310</v>
      </c>
      <c r="B334" s="286" t="str">
        <f>IFERROR(IF(Report!$D$4='!'!$HE$4,VLOOKUP(A334,Reference!$B$25:$H$390,2,FALSE),VLOOKUP(A334,Monitoring!$B$25:$H$390,2,FALSE)),'!'!$GJ$15)</f>
        <v>N</v>
      </c>
      <c r="C334" s="58" t="str">
        <f>Reference!A334</f>
        <v/>
      </c>
      <c r="D334" s="287" t="str">
        <f>IFERROR(IF(Report!$D$4='!'!$HE$4,VLOOKUP(A334,Reference!$B$25:$H$390,3,FALSE),VLOOKUP(A334,Monitoring!$B$25:$H$390,3,FALSE)),'!'!$GJ$15)</f>
        <v>N</v>
      </c>
      <c r="E334" s="285"/>
      <c r="F334" s="254"/>
      <c r="G334" s="151" t="str">
        <f>IF(D334='!'!$GJ$15,'!'!$GJ$15,(SUM(W334,X334,Y334,Z333,Q334)))</f>
        <v>N</v>
      </c>
      <c r="H334" s="51"/>
      <c r="I334" s="299" t="str">
        <f>IF($I$12="","",IFERROR(IF(Report!$D$4='!'!$HE$4,VLOOKUP(A334,Reference!$B$25:$H$390,4,FALSE),VLOOKUP(A334,Monitoring!$B$25:$H$390,4,FALSE)),""))</f>
        <v/>
      </c>
      <c r="J334" s="256"/>
      <c r="K334" s="299" t="str">
        <f>IF($K$12="","",IFERROR(IF(Report!$D$4='!'!$HE$4,VLOOKUP(A334,Reference!$B$25:$H$390,5,FALSE),VLOOKUP(A334,Monitoring!$B$25:$H$390,5,FALSE)),""))</f>
        <v/>
      </c>
      <c r="L334" s="256"/>
      <c r="M334" s="299" t="str">
        <f>IF($M$12="","",IFERROR(IF(Report!$D$4='!'!$HE$4,VLOOKUP(A334,Reference!$B$25:$H$390,6,FALSE),VLOOKUP(A334,Monitoring!$B$25:$H$390,6,FALSE)),""))</f>
        <v/>
      </c>
      <c r="N334" s="256"/>
      <c r="O334" s="299" t="str">
        <f>IF($O$12="","",IFERROR(IF(Report!$D$4='!'!$HE$4,VLOOKUP(A334,Reference!$B$25:$H$390,7,FALSE),VLOOKUP(A334,Monitoring!$B$25:$H$390,7,FALSE)),""))</f>
        <v/>
      </c>
      <c r="P334" s="51"/>
      <c r="Q334" s="151" t="str">
        <f>IF(B334='!'!$GJ$15,'!'!$GJ$15,$Q$12)</f>
        <v>N</v>
      </c>
      <c r="S334" s="4" t="str">
        <f>IFERROR(ABS(T334),'!'!$GJ$15)</f>
        <v>N</v>
      </c>
      <c r="T334" s="84" t="str">
        <f>IFERROR(+G334-D334,'!'!$GJ$15)</f>
        <v>N</v>
      </c>
      <c r="U334" s="64" t="str">
        <f t="shared" si="9"/>
        <v>N</v>
      </c>
      <c r="W334" s="153" t="str">
        <f>IFERROR(I$10*I334,'!'!$GJ$15)</f>
        <v>N</v>
      </c>
      <c r="X334" s="153" t="str">
        <f>IFERROR(K$10*K334,'!'!$GJ$15)</f>
        <v>N</v>
      </c>
      <c r="Y334" s="153" t="str">
        <f>IFERROR(M$10*M334,'!'!$GJ$15)</f>
        <v>N</v>
      </c>
      <c r="Z334" s="153" t="str">
        <f>IFERROR(O$10*O335,'!'!$GJ$15)</f>
        <v>N</v>
      </c>
    </row>
    <row r="335" spans="1:26" x14ac:dyDescent="0.35">
      <c r="A335" s="4">
        <f t="shared" si="8"/>
        <v>311</v>
      </c>
      <c r="B335" s="286" t="str">
        <f>IFERROR(IF(Report!$D$4='!'!$HE$4,VLOOKUP(A335,Reference!$B$25:$H$390,2,FALSE),VLOOKUP(A335,Monitoring!$B$25:$H$390,2,FALSE)),'!'!$GJ$15)</f>
        <v>N</v>
      </c>
      <c r="C335" s="58" t="str">
        <f>Reference!A335</f>
        <v/>
      </c>
      <c r="D335" s="287" t="str">
        <f>IFERROR(IF(Report!$D$4='!'!$HE$4,VLOOKUP(A335,Reference!$B$25:$H$390,3,FALSE),VLOOKUP(A335,Monitoring!$B$25:$H$390,3,FALSE)),'!'!$GJ$15)</f>
        <v>N</v>
      </c>
      <c r="E335" s="285"/>
      <c r="F335" s="254"/>
      <c r="G335" s="151" t="str">
        <f>IF(D335='!'!$GJ$15,'!'!$GJ$15,(SUM(W335,X335,Y335,Z334,Q335)))</f>
        <v>N</v>
      </c>
      <c r="H335" s="51"/>
      <c r="I335" s="299" t="str">
        <f>IF($I$12="","",IFERROR(IF(Report!$D$4='!'!$HE$4,VLOOKUP(A335,Reference!$B$25:$H$390,4,FALSE),VLOOKUP(A335,Monitoring!$B$25:$H$390,4,FALSE)),""))</f>
        <v/>
      </c>
      <c r="J335" s="256"/>
      <c r="K335" s="299" t="str">
        <f>IF($K$12="","",IFERROR(IF(Report!$D$4='!'!$HE$4,VLOOKUP(A335,Reference!$B$25:$H$390,5,FALSE),VLOOKUP(A335,Monitoring!$B$25:$H$390,5,FALSE)),""))</f>
        <v/>
      </c>
      <c r="L335" s="256"/>
      <c r="M335" s="299" t="str">
        <f>IF($M$12="","",IFERROR(IF(Report!$D$4='!'!$HE$4,VLOOKUP(A335,Reference!$B$25:$H$390,6,FALSE),VLOOKUP(A335,Monitoring!$B$25:$H$390,6,FALSE)),""))</f>
        <v/>
      </c>
      <c r="N335" s="256"/>
      <c r="O335" s="299" t="str">
        <f>IF($O$12="","",IFERROR(IF(Report!$D$4='!'!$HE$4,VLOOKUP(A335,Reference!$B$25:$H$390,7,FALSE),VLOOKUP(A335,Monitoring!$B$25:$H$390,7,FALSE)),""))</f>
        <v/>
      </c>
      <c r="P335" s="51"/>
      <c r="Q335" s="151" t="str">
        <f>IF(B335='!'!$GJ$15,'!'!$GJ$15,$Q$12)</f>
        <v>N</v>
      </c>
      <c r="S335" s="4" t="str">
        <f>IFERROR(ABS(T335),'!'!$GJ$15)</f>
        <v>N</v>
      </c>
      <c r="T335" s="84" t="str">
        <f>IFERROR(+G335-D335,'!'!$GJ$15)</f>
        <v>N</v>
      </c>
      <c r="U335" s="64" t="str">
        <f t="shared" si="9"/>
        <v>N</v>
      </c>
      <c r="W335" s="153" t="str">
        <f>IFERROR(I$10*I335,'!'!$GJ$15)</f>
        <v>N</v>
      </c>
      <c r="X335" s="153" t="str">
        <f>IFERROR(K$10*K335,'!'!$GJ$15)</f>
        <v>N</v>
      </c>
      <c r="Y335" s="153" t="str">
        <f>IFERROR(M$10*M335,'!'!$GJ$15)</f>
        <v>N</v>
      </c>
      <c r="Z335" s="153" t="str">
        <f>IFERROR(O$10*O336,'!'!$GJ$15)</f>
        <v>N</v>
      </c>
    </row>
    <row r="336" spans="1:26" x14ac:dyDescent="0.35">
      <c r="A336" s="4">
        <f t="shared" si="8"/>
        <v>312</v>
      </c>
      <c r="B336" s="286" t="str">
        <f>IFERROR(IF(Report!$D$4='!'!$HE$4,VLOOKUP(A336,Reference!$B$25:$H$390,2,FALSE),VLOOKUP(A336,Monitoring!$B$25:$H$390,2,FALSE)),'!'!$GJ$15)</f>
        <v>N</v>
      </c>
      <c r="C336" s="58" t="str">
        <f>Reference!A336</f>
        <v/>
      </c>
      <c r="D336" s="287" t="str">
        <f>IFERROR(IF(Report!$D$4='!'!$HE$4,VLOOKUP(A336,Reference!$B$25:$H$390,3,FALSE),VLOOKUP(A336,Monitoring!$B$25:$H$390,3,FALSE)),'!'!$GJ$15)</f>
        <v>N</v>
      </c>
      <c r="E336" s="285"/>
      <c r="F336" s="254"/>
      <c r="G336" s="151" t="str">
        <f>IF(D336='!'!$GJ$15,'!'!$GJ$15,(SUM(W336,X336,Y336,Z335,Q336)))</f>
        <v>N</v>
      </c>
      <c r="H336" s="51"/>
      <c r="I336" s="299" t="str">
        <f>IF($I$12="","",IFERROR(IF(Report!$D$4='!'!$HE$4,VLOOKUP(A336,Reference!$B$25:$H$390,4,FALSE),VLOOKUP(A336,Monitoring!$B$25:$H$390,4,FALSE)),""))</f>
        <v/>
      </c>
      <c r="J336" s="256"/>
      <c r="K336" s="299" t="str">
        <f>IF($K$12="","",IFERROR(IF(Report!$D$4='!'!$HE$4,VLOOKUP(A336,Reference!$B$25:$H$390,5,FALSE),VLOOKUP(A336,Monitoring!$B$25:$H$390,5,FALSE)),""))</f>
        <v/>
      </c>
      <c r="L336" s="256"/>
      <c r="M336" s="299" t="str">
        <f>IF($M$12="","",IFERROR(IF(Report!$D$4='!'!$HE$4,VLOOKUP(A336,Reference!$B$25:$H$390,6,FALSE),VLOOKUP(A336,Monitoring!$B$25:$H$390,6,FALSE)),""))</f>
        <v/>
      </c>
      <c r="N336" s="256"/>
      <c r="O336" s="299" t="str">
        <f>IF($O$12="","",IFERROR(IF(Report!$D$4='!'!$HE$4,VLOOKUP(A336,Reference!$B$25:$H$390,7,FALSE),VLOOKUP(A336,Monitoring!$B$25:$H$390,7,FALSE)),""))</f>
        <v/>
      </c>
      <c r="P336" s="51"/>
      <c r="Q336" s="151" t="str">
        <f>IF(B336='!'!$GJ$15,'!'!$GJ$15,$Q$12)</f>
        <v>N</v>
      </c>
      <c r="S336" s="4" t="str">
        <f>IFERROR(ABS(T336),'!'!$GJ$15)</f>
        <v>N</v>
      </c>
      <c r="T336" s="84" t="str">
        <f>IFERROR(+G336-D336,'!'!$GJ$15)</f>
        <v>N</v>
      </c>
      <c r="U336" s="64" t="str">
        <f t="shared" si="9"/>
        <v>N</v>
      </c>
      <c r="W336" s="153" t="str">
        <f>IFERROR(I$10*I336,'!'!$GJ$15)</f>
        <v>N</v>
      </c>
      <c r="X336" s="153" t="str">
        <f>IFERROR(K$10*K336,'!'!$GJ$15)</f>
        <v>N</v>
      </c>
      <c r="Y336" s="153" t="str">
        <f>IFERROR(M$10*M336,'!'!$GJ$15)</f>
        <v>N</v>
      </c>
      <c r="Z336" s="153" t="str">
        <f>IFERROR(O$10*O337,'!'!$GJ$15)</f>
        <v>N</v>
      </c>
    </row>
    <row r="337" spans="1:26" x14ac:dyDescent="0.35">
      <c r="A337" s="4">
        <f t="shared" si="8"/>
        <v>313</v>
      </c>
      <c r="B337" s="286" t="str">
        <f>IFERROR(IF(Report!$D$4='!'!$HE$4,VLOOKUP(A337,Reference!$B$25:$H$390,2,FALSE),VLOOKUP(A337,Monitoring!$B$25:$H$390,2,FALSE)),'!'!$GJ$15)</f>
        <v>N</v>
      </c>
      <c r="C337" s="58" t="str">
        <f>Reference!A337</f>
        <v/>
      </c>
      <c r="D337" s="287" t="str">
        <f>IFERROR(IF(Report!$D$4='!'!$HE$4,VLOOKUP(A337,Reference!$B$25:$H$390,3,FALSE),VLOOKUP(A337,Monitoring!$B$25:$H$390,3,FALSE)),'!'!$GJ$15)</f>
        <v>N</v>
      </c>
      <c r="E337" s="285"/>
      <c r="F337" s="254"/>
      <c r="G337" s="151" t="str">
        <f>IF(D337='!'!$GJ$15,'!'!$GJ$15,(SUM(W337,X337,Y337,Z336,Q337)))</f>
        <v>N</v>
      </c>
      <c r="H337" s="51"/>
      <c r="I337" s="299" t="str">
        <f>IF($I$12="","",IFERROR(IF(Report!$D$4='!'!$HE$4,VLOOKUP(A337,Reference!$B$25:$H$390,4,FALSE),VLOOKUP(A337,Monitoring!$B$25:$H$390,4,FALSE)),""))</f>
        <v/>
      </c>
      <c r="J337" s="256"/>
      <c r="K337" s="299" t="str">
        <f>IF($K$12="","",IFERROR(IF(Report!$D$4='!'!$HE$4,VLOOKUP(A337,Reference!$B$25:$H$390,5,FALSE),VLOOKUP(A337,Monitoring!$B$25:$H$390,5,FALSE)),""))</f>
        <v/>
      </c>
      <c r="L337" s="256"/>
      <c r="M337" s="299" t="str">
        <f>IF($M$12="","",IFERROR(IF(Report!$D$4='!'!$HE$4,VLOOKUP(A337,Reference!$B$25:$H$390,6,FALSE),VLOOKUP(A337,Monitoring!$B$25:$H$390,6,FALSE)),""))</f>
        <v/>
      </c>
      <c r="N337" s="256"/>
      <c r="O337" s="299" t="str">
        <f>IF($O$12="","",IFERROR(IF(Report!$D$4='!'!$HE$4,VLOOKUP(A337,Reference!$B$25:$H$390,7,FALSE),VLOOKUP(A337,Monitoring!$B$25:$H$390,7,FALSE)),""))</f>
        <v/>
      </c>
      <c r="P337" s="51"/>
      <c r="Q337" s="151" t="str">
        <f>IF(B337='!'!$GJ$15,'!'!$GJ$15,$Q$12)</f>
        <v>N</v>
      </c>
      <c r="S337" s="4" t="str">
        <f>IFERROR(ABS(T337),'!'!$GJ$15)</f>
        <v>N</v>
      </c>
      <c r="T337" s="84" t="str">
        <f>IFERROR(+G337-D337,'!'!$GJ$15)</f>
        <v>N</v>
      </c>
      <c r="U337" s="64" t="str">
        <f t="shared" si="9"/>
        <v>N</v>
      </c>
      <c r="W337" s="153" t="str">
        <f>IFERROR(I$10*I337,'!'!$GJ$15)</f>
        <v>N</v>
      </c>
      <c r="X337" s="153" t="str">
        <f>IFERROR(K$10*K337,'!'!$GJ$15)</f>
        <v>N</v>
      </c>
      <c r="Y337" s="153" t="str">
        <f>IFERROR(M$10*M337,'!'!$GJ$15)</f>
        <v>N</v>
      </c>
      <c r="Z337" s="153" t="str">
        <f>IFERROR(O$10*O338,'!'!$GJ$15)</f>
        <v>N</v>
      </c>
    </row>
    <row r="338" spans="1:26" x14ac:dyDescent="0.35">
      <c r="A338" s="4">
        <f t="shared" si="8"/>
        <v>314</v>
      </c>
      <c r="B338" s="286" t="str">
        <f>IFERROR(IF(Report!$D$4='!'!$HE$4,VLOOKUP(A338,Reference!$B$25:$H$390,2,FALSE),VLOOKUP(A338,Monitoring!$B$25:$H$390,2,FALSE)),'!'!$GJ$15)</f>
        <v>N</v>
      </c>
      <c r="C338" s="58" t="str">
        <f>Reference!A338</f>
        <v/>
      </c>
      <c r="D338" s="287" t="str">
        <f>IFERROR(IF(Report!$D$4='!'!$HE$4,VLOOKUP(A338,Reference!$B$25:$H$390,3,FALSE),VLOOKUP(A338,Monitoring!$B$25:$H$390,3,FALSE)),'!'!$GJ$15)</f>
        <v>N</v>
      </c>
      <c r="E338" s="285"/>
      <c r="F338" s="254"/>
      <c r="G338" s="151" t="str">
        <f>IF(D338='!'!$GJ$15,'!'!$GJ$15,(SUM(W338,X338,Y338,Z337,Q338)))</f>
        <v>N</v>
      </c>
      <c r="H338" s="51"/>
      <c r="I338" s="299" t="str">
        <f>IF($I$12="","",IFERROR(IF(Report!$D$4='!'!$HE$4,VLOOKUP(A338,Reference!$B$25:$H$390,4,FALSE),VLOOKUP(A338,Monitoring!$B$25:$H$390,4,FALSE)),""))</f>
        <v/>
      </c>
      <c r="J338" s="256"/>
      <c r="K338" s="299" t="str">
        <f>IF($K$12="","",IFERROR(IF(Report!$D$4='!'!$HE$4,VLOOKUP(A338,Reference!$B$25:$H$390,5,FALSE),VLOOKUP(A338,Monitoring!$B$25:$H$390,5,FALSE)),""))</f>
        <v/>
      </c>
      <c r="L338" s="256"/>
      <c r="M338" s="299" t="str">
        <f>IF($M$12="","",IFERROR(IF(Report!$D$4='!'!$HE$4,VLOOKUP(A338,Reference!$B$25:$H$390,6,FALSE),VLOOKUP(A338,Monitoring!$B$25:$H$390,6,FALSE)),""))</f>
        <v/>
      </c>
      <c r="N338" s="256"/>
      <c r="O338" s="299" t="str">
        <f>IF($O$12="","",IFERROR(IF(Report!$D$4='!'!$HE$4,VLOOKUP(A338,Reference!$B$25:$H$390,7,FALSE),VLOOKUP(A338,Monitoring!$B$25:$H$390,7,FALSE)),""))</f>
        <v/>
      </c>
      <c r="P338" s="51"/>
      <c r="Q338" s="151" t="str">
        <f>IF(B338='!'!$GJ$15,'!'!$GJ$15,$Q$12)</f>
        <v>N</v>
      </c>
      <c r="S338" s="4" t="str">
        <f>IFERROR(ABS(T338),'!'!$GJ$15)</f>
        <v>N</v>
      </c>
      <c r="T338" s="84" t="str">
        <f>IFERROR(+G338-D338,'!'!$GJ$15)</f>
        <v>N</v>
      </c>
      <c r="U338" s="64" t="str">
        <f t="shared" si="9"/>
        <v>N</v>
      </c>
      <c r="W338" s="153" t="str">
        <f>IFERROR(I$10*I338,'!'!$GJ$15)</f>
        <v>N</v>
      </c>
      <c r="X338" s="153" t="str">
        <f>IFERROR(K$10*K338,'!'!$GJ$15)</f>
        <v>N</v>
      </c>
      <c r="Y338" s="153" t="str">
        <f>IFERROR(M$10*M338,'!'!$GJ$15)</f>
        <v>N</v>
      </c>
      <c r="Z338" s="153" t="str">
        <f>IFERROR(O$10*O339,'!'!$GJ$15)</f>
        <v>N</v>
      </c>
    </row>
    <row r="339" spans="1:26" x14ac:dyDescent="0.35">
      <c r="A339" s="4">
        <f t="shared" si="8"/>
        <v>315</v>
      </c>
      <c r="B339" s="286" t="str">
        <f>IFERROR(IF(Report!$D$4='!'!$HE$4,VLOOKUP(A339,Reference!$B$25:$H$390,2,FALSE),VLOOKUP(A339,Monitoring!$B$25:$H$390,2,FALSE)),'!'!$GJ$15)</f>
        <v>N</v>
      </c>
      <c r="C339" s="58" t="str">
        <f>Reference!A339</f>
        <v/>
      </c>
      <c r="D339" s="287" t="str">
        <f>IFERROR(IF(Report!$D$4='!'!$HE$4,VLOOKUP(A339,Reference!$B$25:$H$390,3,FALSE),VLOOKUP(A339,Monitoring!$B$25:$H$390,3,FALSE)),'!'!$GJ$15)</f>
        <v>N</v>
      </c>
      <c r="E339" s="285"/>
      <c r="F339" s="254"/>
      <c r="G339" s="151" t="str">
        <f>IF(D339='!'!$GJ$15,'!'!$GJ$15,(SUM(W339,X339,Y339,Z338,Q339)))</f>
        <v>N</v>
      </c>
      <c r="H339" s="51"/>
      <c r="I339" s="299" t="str">
        <f>IF($I$12="","",IFERROR(IF(Report!$D$4='!'!$HE$4,VLOOKUP(A339,Reference!$B$25:$H$390,4,FALSE),VLOOKUP(A339,Monitoring!$B$25:$H$390,4,FALSE)),""))</f>
        <v/>
      </c>
      <c r="J339" s="256"/>
      <c r="K339" s="299" t="str">
        <f>IF($K$12="","",IFERROR(IF(Report!$D$4='!'!$HE$4,VLOOKUP(A339,Reference!$B$25:$H$390,5,FALSE),VLOOKUP(A339,Monitoring!$B$25:$H$390,5,FALSE)),""))</f>
        <v/>
      </c>
      <c r="L339" s="256"/>
      <c r="M339" s="299" t="str">
        <f>IF($M$12="","",IFERROR(IF(Report!$D$4='!'!$HE$4,VLOOKUP(A339,Reference!$B$25:$H$390,6,FALSE),VLOOKUP(A339,Monitoring!$B$25:$H$390,6,FALSE)),""))</f>
        <v/>
      </c>
      <c r="N339" s="256"/>
      <c r="O339" s="299" t="str">
        <f>IF($O$12="","",IFERROR(IF(Report!$D$4='!'!$HE$4,VLOOKUP(A339,Reference!$B$25:$H$390,7,FALSE),VLOOKUP(A339,Monitoring!$B$25:$H$390,7,FALSE)),""))</f>
        <v/>
      </c>
      <c r="P339" s="51"/>
      <c r="Q339" s="151" t="str">
        <f>IF(B339='!'!$GJ$15,'!'!$GJ$15,$Q$12)</f>
        <v>N</v>
      </c>
      <c r="S339" s="4" t="str">
        <f>IFERROR(ABS(T339),'!'!$GJ$15)</f>
        <v>N</v>
      </c>
      <c r="T339" s="84" t="str">
        <f>IFERROR(+G339-D339,'!'!$GJ$15)</f>
        <v>N</v>
      </c>
      <c r="U339" s="64" t="str">
        <f t="shared" si="9"/>
        <v>N</v>
      </c>
      <c r="W339" s="153" t="str">
        <f>IFERROR(I$10*I339,'!'!$GJ$15)</f>
        <v>N</v>
      </c>
      <c r="X339" s="153" t="str">
        <f>IFERROR(K$10*K339,'!'!$GJ$15)</f>
        <v>N</v>
      </c>
      <c r="Y339" s="153" t="str">
        <f>IFERROR(M$10*M339,'!'!$GJ$15)</f>
        <v>N</v>
      </c>
      <c r="Z339" s="153" t="str">
        <f>IFERROR(O$10*O340,'!'!$GJ$15)</f>
        <v>N</v>
      </c>
    </row>
    <row r="340" spans="1:26" x14ac:dyDescent="0.35">
      <c r="A340" s="4">
        <f t="shared" si="8"/>
        <v>316</v>
      </c>
      <c r="B340" s="286" t="str">
        <f>IFERROR(IF(Report!$D$4='!'!$HE$4,VLOOKUP(A340,Reference!$B$25:$H$390,2,FALSE),VLOOKUP(A340,Monitoring!$B$25:$H$390,2,FALSE)),'!'!$GJ$15)</f>
        <v>N</v>
      </c>
      <c r="C340" s="58" t="str">
        <f>Reference!A340</f>
        <v/>
      </c>
      <c r="D340" s="287" t="str">
        <f>IFERROR(IF(Report!$D$4='!'!$HE$4,VLOOKUP(A340,Reference!$B$25:$H$390,3,FALSE),VLOOKUP(A340,Monitoring!$B$25:$H$390,3,FALSE)),'!'!$GJ$15)</f>
        <v>N</v>
      </c>
      <c r="E340" s="285"/>
      <c r="F340" s="254"/>
      <c r="G340" s="151" t="str">
        <f>IF(D340='!'!$GJ$15,'!'!$GJ$15,(SUM(W340,X340,Y340,Z339,Q340)))</f>
        <v>N</v>
      </c>
      <c r="H340" s="51"/>
      <c r="I340" s="299" t="str">
        <f>IF($I$12="","",IFERROR(IF(Report!$D$4='!'!$HE$4,VLOOKUP(A340,Reference!$B$25:$H$390,4,FALSE),VLOOKUP(A340,Monitoring!$B$25:$H$390,4,FALSE)),""))</f>
        <v/>
      </c>
      <c r="J340" s="256"/>
      <c r="K340" s="299" t="str">
        <f>IF($K$12="","",IFERROR(IF(Report!$D$4='!'!$HE$4,VLOOKUP(A340,Reference!$B$25:$H$390,5,FALSE),VLOOKUP(A340,Monitoring!$B$25:$H$390,5,FALSE)),""))</f>
        <v/>
      </c>
      <c r="L340" s="256"/>
      <c r="M340" s="299" t="str">
        <f>IF($M$12="","",IFERROR(IF(Report!$D$4='!'!$HE$4,VLOOKUP(A340,Reference!$B$25:$H$390,6,FALSE),VLOOKUP(A340,Monitoring!$B$25:$H$390,6,FALSE)),""))</f>
        <v/>
      </c>
      <c r="N340" s="256"/>
      <c r="O340" s="299" t="str">
        <f>IF($O$12="","",IFERROR(IF(Report!$D$4='!'!$HE$4,VLOOKUP(A340,Reference!$B$25:$H$390,7,FALSE),VLOOKUP(A340,Monitoring!$B$25:$H$390,7,FALSE)),""))</f>
        <v/>
      </c>
      <c r="P340" s="51"/>
      <c r="Q340" s="151" t="str">
        <f>IF(B340='!'!$GJ$15,'!'!$GJ$15,$Q$12)</f>
        <v>N</v>
      </c>
      <c r="S340" s="4" t="str">
        <f>IFERROR(ABS(T340),'!'!$GJ$15)</f>
        <v>N</v>
      </c>
      <c r="T340" s="84" t="str">
        <f>IFERROR(+G340-D340,'!'!$GJ$15)</f>
        <v>N</v>
      </c>
      <c r="U340" s="64" t="str">
        <f t="shared" si="9"/>
        <v>N</v>
      </c>
      <c r="W340" s="153" t="str">
        <f>IFERROR(I$10*I340,'!'!$GJ$15)</f>
        <v>N</v>
      </c>
      <c r="X340" s="153" t="str">
        <f>IFERROR(K$10*K340,'!'!$GJ$15)</f>
        <v>N</v>
      </c>
      <c r="Y340" s="153" t="str">
        <f>IFERROR(M$10*M340,'!'!$GJ$15)</f>
        <v>N</v>
      </c>
      <c r="Z340" s="153" t="str">
        <f>IFERROR(O$10*O341,'!'!$GJ$15)</f>
        <v>N</v>
      </c>
    </row>
    <row r="341" spans="1:26" x14ac:dyDescent="0.35">
      <c r="A341" s="4">
        <f t="shared" si="8"/>
        <v>317</v>
      </c>
      <c r="B341" s="286" t="str">
        <f>IFERROR(IF(Report!$D$4='!'!$HE$4,VLOOKUP(A341,Reference!$B$25:$H$390,2,FALSE),VLOOKUP(A341,Monitoring!$B$25:$H$390,2,FALSE)),'!'!$GJ$15)</f>
        <v>N</v>
      </c>
      <c r="C341" s="58" t="str">
        <f>Reference!A341</f>
        <v/>
      </c>
      <c r="D341" s="287" t="str">
        <f>IFERROR(IF(Report!$D$4='!'!$HE$4,VLOOKUP(A341,Reference!$B$25:$H$390,3,FALSE),VLOOKUP(A341,Monitoring!$B$25:$H$390,3,FALSE)),'!'!$GJ$15)</f>
        <v>N</v>
      </c>
      <c r="E341" s="285"/>
      <c r="F341" s="254"/>
      <c r="G341" s="151" t="str">
        <f>IF(D341='!'!$GJ$15,'!'!$GJ$15,(SUM(W341,X341,Y341,Z340,Q341)))</f>
        <v>N</v>
      </c>
      <c r="H341" s="51"/>
      <c r="I341" s="299" t="str">
        <f>IF($I$12="","",IFERROR(IF(Report!$D$4='!'!$HE$4,VLOOKUP(A341,Reference!$B$25:$H$390,4,FALSE),VLOOKUP(A341,Monitoring!$B$25:$H$390,4,FALSE)),""))</f>
        <v/>
      </c>
      <c r="J341" s="256"/>
      <c r="K341" s="299" t="str">
        <f>IF($K$12="","",IFERROR(IF(Report!$D$4='!'!$HE$4,VLOOKUP(A341,Reference!$B$25:$H$390,5,FALSE),VLOOKUP(A341,Monitoring!$B$25:$H$390,5,FALSE)),""))</f>
        <v/>
      </c>
      <c r="L341" s="256"/>
      <c r="M341" s="299" t="str">
        <f>IF($M$12="","",IFERROR(IF(Report!$D$4='!'!$HE$4,VLOOKUP(A341,Reference!$B$25:$H$390,6,FALSE),VLOOKUP(A341,Monitoring!$B$25:$H$390,6,FALSE)),""))</f>
        <v/>
      </c>
      <c r="N341" s="256"/>
      <c r="O341" s="299" t="str">
        <f>IF($O$12="","",IFERROR(IF(Report!$D$4='!'!$HE$4,VLOOKUP(A341,Reference!$B$25:$H$390,7,FALSE),VLOOKUP(A341,Monitoring!$B$25:$H$390,7,FALSE)),""))</f>
        <v/>
      </c>
      <c r="P341" s="51"/>
      <c r="Q341" s="151" t="str">
        <f>IF(B341='!'!$GJ$15,'!'!$GJ$15,$Q$12)</f>
        <v>N</v>
      </c>
      <c r="S341" s="4" t="str">
        <f>IFERROR(ABS(T341),'!'!$GJ$15)</f>
        <v>N</v>
      </c>
      <c r="T341" s="84" t="str">
        <f>IFERROR(+G341-D341,'!'!$GJ$15)</f>
        <v>N</v>
      </c>
      <c r="U341" s="64" t="str">
        <f t="shared" si="9"/>
        <v>N</v>
      </c>
      <c r="W341" s="153" t="str">
        <f>IFERROR(I$10*I341,'!'!$GJ$15)</f>
        <v>N</v>
      </c>
      <c r="X341" s="153" t="str">
        <f>IFERROR(K$10*K341,'!'!$GJ$15)</f>
        <v>N</v>
      </c>
      <c r="Y341" s="153" t="str">
        <f>IFERROR(M$10*M341,'!'!$GJ$15)</f>
        <v>N</v>
      </c>
      <c r="Z341" s="153" t="str">
        <f>IFERROR(O$10*O342,'!'!$GJ$15)</f>
        <v>N</v>
      </c>
    </row>
    <row r="342" spans="1:26" x14ac:dyDescent="0.35">
      <c r="A342" s="4">
        <f t="shared" si="8"/>
        <v>318</v>
      </c>
      <c r="B342" s="286" t="str">
        <f>IFERROR(IF(Report!$D$4='!'!$HE$4,VLOOKUP(A342,Reference!$B$25:$H$390,2,FALSE),VLOOKUP(A342,Monitoring!$B$25:$H$390,2,FALSE)),'!'!$GJ$15)</f>
        <v>N</v>
      </c>
      <c r="C342" s="58" t="str">
        <f>Reference!A342</f>
        <v/>
      </c>
      <c r="D342" s="287" t="str">
        <f>IFERROR(IF(Report!$D$4='!'!$HE$4,VLOOKUP(A342,Reference!$B$25:$H$390,3,FALSE),VLOOKUP(A342,Monitoring!$B$25:$H$390,3,FALSE)),'!'!$GJ$15)</f>
        <v>N</v>
      </c>
      <c r="E342" s="285"/>
      <c r="F342" s="254"/>
      <c r="G342" s="151" t="str">
        <f>IF(D342='!'!$GJ$15,'!'!$GJ$15,(SUM(W342,X342,Y342,Z341,Q342)))</f>
        <v>N</v>
      </c>
      <c r="H342" s="51"/>
      <c r="I342" s="299" t="str">
        <f>IF($I$12="","",IFERROR(IF(Report!$D$4='!'!$HE$4,VLOOKUP(A342,Reference!$B$25:$H$390,4,FALSE),VLOOKUP(A342,Monitoring!$B$25:$H$390,4,FALSE)),""))</f>
        <v/>
      </c>
      <c r="J342" s="256"/>
      <c r="K342" s="299" t="str">
        <f>IF($K$12="","",IFERROR(IF(Report!$D$4='!'!$HE$4,VLOOKUP(A342,Reference!$B$25:$H$390,5,FALSE),VLOOKUP(A342,Monitoring!$B$25:$H$390,5,FALSE)),""))</f>
        <v/>
      </c>
      <c r="L342" s="256"/>
      <c r="M342" s="299" t="str">
        <f>IF($M$12="","",IFERROR(IF(Report!$D$4='!'!$HE$4,VLOOKUP(A342,Reference!$B$25:$H$390,6,FALSE),VLOOKUP(A342,Monitoring!$B$25:$H$390,6,FALSE)),""))</f>
        <v/>
      </c>
      <c r="N342" s="256"/>
      <c r="O342" s="299" t="str">
        <f>IF($O$12="","",IFERROR(IF(Report!$D$4='!'!$HE$4,VLOOKUP(A342,Reference!$B$25:$H$390,7,FALSE),VLOOKUP(A342,Monitoring!$B$25:$H$390,7,FALSE)),""))</f>
        <v/>
      </c>
      <c r="P342" s="51"/>
      <c r="Q342" s="151" t="str">
        <f>IF(B342='!'!$GJ$15,'!'!$GJ$15,$Q$12)</f>
        <v>N</v>
      </c>
      <c r="S342" s="4" t="str">
        <f>IFERROR(ABS(T342),'!'!$GJ$15)</f>
        <v>N</v>
      </c>
      <c r="T342" s="84" t="str">
        <f>IFERROR(+G342-D342,'!'!$GJ$15)</f>
        <v>N</v>
      </c>
      <c r="U342" s="64" t="str">
        <f t="shared" si="9"/>
        <v>N</v>
      </c>
      <c r="W342" s="153" t="str">
        <f>IFERROR(I$10*I342,'!'!$GJ$15)</f>
        <v>N</v>
      </c>
      <c r="X342" s="153" t="str">
        <f>IFERROR(K$10*K342,'!'!$GJ$15)</f>
        <v>N</v>
      </c>
      <c r="Y342" s="153" t="str">
        <f>IFERROR(M$10*M342,'!'!$GJ$15)</f>
        <v>N</v>
      </c>
      <c r="Z342" s="153" t="str">
        <f>IFERROR(O$10*O343,'!'!$GJ$15)</f>
        <v>N</v>
      </c>
    </row>
    <row r="343" spans="1:26" x14ac:dyDescent="0.35">
      <c r="A343" s="4">
        <f t="shared" si="8"/>
        <v>319</v>
      </c>
      <c r="B343" s="286" t="str">
        <f>IFERROR(IF(Report!$D$4='!'!$HE$4,VLOOKUP(A343,Reference!$B$25:$H$390,2,FALSE),VLOOKUP(A343,Monitoring!$B$25:$H$390,2,FALSE)),'!'!$GJ$15)</f>
        <v>N</v>
      </c>
      <c r="C343" s="58" t="str">
        <f>Reference!A343</f>
        <v/>
      </c>
      <c r="D343" s="287" t="str">
        <f>IFERROR(IF(Report!$D$4='!'!$HE$4,VLOOKUP(A343,Reference!$B$25:$H$390,3,FALSE),VLOOKUP(A343,Monitoring!$B$25:$H$390,3,FALSE)),'!'!$GJ$15)</f>
        <v>N</v>
      </c>
      <c r="E343" s="285"/>
      <c r="F343" s="254"/>
      <c r="G343" s="151" t="str">
        <f>IF(D343='!'!$GJ$15,'!'!$GJ$15,(SUM(W343,X343,Y343,Z342,Q343)))</f>
        <v>N</v>
      </c>
      <c r="H343" s="51"/>
      <c r="I343" s="299" t="str">
        <f>IF($I$12="","",IFERROR(IF(Report!$D$4='!'!$HE$4,VLOOKUP(A343,Reference!$B$25:$H$390,4,FALSE),VLOOKUP(A343,Monitoring!$B$25:$H$390,4,FALSE)),""))</f>
        <v/>
      </c>
      <c r="J343" s="256"/>
      <c r="K343" s="299" t="str">
        <f>IF($K$12="","",IFERROR(IF(Report!$D$4='!'!$HE$4,VLOOKUP(A343,Reference!$B$25:$H$390,5,FALSE),VLOOKUP(A343,Monitoring!$B$25:$H$390,5,FALSE)),""))</f>
        <v/>
      </c>
      <c r="L343" s="256"/>
      <c r="M343" s="299" t="str">
        <f>IF($M$12="","",IFERROR(IF(Report!$D$4='!'!$HE$4,VLOOKUP(A343,Reference!$B$25:$H$390,6,FALSE),VLOOKUP(A343,Monitoring!$B$25:$H$390,6,FALSE)),""))</f>
        <v/>
      </c>
      <c r="N343" s="256"/>
      <c r="O343" s="299" t="str">
        <f>IF($O$12="","",IFERROR(IF(Report!$D$4='!'!$HE$4,VLOOKUP(A343,Reference!$B$25:$H$390,7,FALSE),VLOOKUP(A343,Monitoring!$B$25:$H$390,7,FALSE)),""))</f>
        <v/>
      </c>
      <c r="P343" s="51"/>
      <c r="Q343" s="151" t="str">
        <f>IF(B343='!'!$GJ$15,'!'!$GJ$15,$Q$12)</f>
        <v>N</v>
      </c>
      <c r="S343" s="4" t="str">
        <f>IFERROR(ABS(T343),'!'!$GJ$15)</f>
        <v>N</v>
      </c>
      <c r="T343" s="84" t="str">
        <f>IFERROR(+G343-D343,'!'!$GJ$15)</f>
        <v>N</v>
      </c>
      <c r="U343" s="64" t="str">
        <f t="shared" si="9"/>
        <v>N</v>
      </c>
      <c r="W343" s="153" t="str">
        <f>IFERROR(I$10*I343,'!'!$GJ$15)</f>
        <v>N</v>
      </c>
      <c r="X343" s="153" t="str">
        <f>IFERROR(K$10*K343,'!'!$GJ$15)</f>
        <v>N</v>
      </c>
      <c r="Y343" s="153" t="str">
        <f>IFERROR(M$10*M343,'!'!$GJ$15)</f>
        <v>N</v>
      </c>
      <c r="Z343" s="153" t="str">
        <f>IFERROR(O$10*O344,'!'!$GJ$15)</f>
        <v>N</v>
      </c>
    </row>
    <row r="344" spans="1:26" x14ac:dyDescent="0.35">
      <c r="A344" s="4">
        <f t="shared" si="8"/>
        <v>320</v>
      </c>
      <c r="B344" s="286" t="str">
        <f>IFERROR(IF(Report!$D$4='!'!$HE$4,VLOOKUP(A344,Reference!$B$25:$H$390,2,FALSE),VLOOKUP(A344,Monitoring!$B$25:$H$390,2,FALSE)),'!'!$GJ$15)</f>
        <v>N</v>
      </c>
      <c r="C344" s="58" t="str">
        <f>Reference!A344</f>
        <v/>
      </c>
      <c r="D344" s="287" t="str">
        <f>IFERROR(IF(Report!$D$4='!'!$HE$4,VLOOKUP(A344,Reference!$B$25:$H$390,3,FALSE),VLOOKUP(A344,Monitoring!$B$25:$H$390,3,FALSE)),'!'!$GJ$15)</f>
        <v>N</v>
      </c>
      <c r="E344" s="285"/>
      <c r="F344" s="254"/>
      <c r="G344" s="151" t="str">
        <f>IF(D344='!'!$GJ$15,'!'!$GJ$15,(SUM(W344,X344,Y344,Z343,Q344)))</f>
        <v>N</v>
      </c>
      <c r="H344" s="51"/>
      <c r="I344" s="299" t="str">
        <f>IF($I$12="","",IFERROR(IF(Report!$D$4='!'!$HE$4,VLOOKUP(A344,Reference!$B$25:$H$390,4,FALSE),VLOOKUP(A344,Monitoring!$B$25:$H$390,4,FALSE)),""))</f>
        <v/>
      </c>
      <c r="J344" s="256"/>
      <c r="K344" s="299" t="str">
        <f>IF($K$12="","",IFERROR(IF(Report!$D$4='!'!$HE$4,VLOOKUP(A344,Reference!$B$25:$H$390,5,FALSE),VLOOKUP(A344,Monitoring!$B$25:$H$390,5,FALSE)),""))</f>
        <v/>
      </c>
      <c r="L344" s="256"/>
      <c r="M344" s="299" t="str">
        <f>IF($M$12="","",IFERROR(IF(Report!$D$4='!'!$HE$4,VLOOKUP(A344,Reference!$B$25:$H$390,6,FALSE),VLOOKUP(A344,Monitoring!$B$25:$H$390,6,FALSE)),""))</f>
        <v/>
      </c>
      <c r="N344" s="256"/>
      <c r="O344" s="299" t="str">
        <f>IF($O$12="","",IFERROR(IF(Report!$D$4='!'!$HE$4,VLOOKUP(A344,Reference!$B$25:$H$390,7,FALSE),VLOOKUP(A344,Monitoring!$B$25:$H$390,7,FALSE)),""))</f>
        <v/>
      </c>
      <c r="P344" s="51"/>
      <c r="Q344" s="151" t="str">
        <f>IF(B344='!'!$GJ$15,'!'!$GJ$15,$Q$12)</f>
        <v>N</v>
      </c>
      <c r="S344" s="4" t="str">
        <f>IFERROR(ABS(T344),'!'!$GJ$15)</f>
        <v>N</v>
      </c>
      <c r="T344" s="84" t="str">
        <f>IFERROR(+G344-D344,'!'!$GJ$15)</f>
        <v>N</v>
      </c>
      <c r="U344" s="64" t="str">
        <f t="shared" si="9"/>
        <v>N</v>
      </c>
      <c r="W344" s="153" t="str">
        <f>IFERROR(I$10*I344,'!'!$GJ$15)</f>
        <v>N</v>
      </c>
      <c r="X344" s="153" t="str">
        <f>IFERROR(K$10*K344,'!'!$GJ$15)</f>
        <v>N</v>
      </c>
      <c r="Y344" s="153" t="str">
        <f>IFERROR(M$10*M344,'!'!$GJ$15)</f>
        <v>N</v>
      </c>
      <c r="Z344" s="153" t="str">
        <f>IFERROR(O$10*O345,'!'!$GJ$15)</f>
        <v>N</v>
      </c>
    </row>
    <row r="345" spans="1:26" x14ac:dyDescent="0.35">
      <c r="A345" s="4">
        <f t="shared" si="8"/>
        <v>321</v>
      </c>
      <c r="B345" s="286" t="str">
        <f>IFERROR(IF(Report!$D$4='!'!$HE$4,VLOOKUP(A345,Reference!$B$25:$H$390,2,FALSE),VLOOKUP(A345,Monitoring!$B$25:$H$390,2,FALSE)),'!'!$GJ$15)</f>
        <v>N</v>
      </c>
      <c r="C345" s="58" t="str">
        <f>Reference!A345</f>
        <v/>
      </c>
      <c r="D345" s="287" t="str">
        <f>IFERROR(IF(Report!$D$4='!'!$HE$4,VLOOKUP(A345,Reference!$B$25:$H$390,3,FALSE),VLOOKUP(A345,Monitoring!$B$25:$H$390,3,FALSE)),'!'!$GJ$15)</f>
        <v>N</v>
      </c>
      <c r="E345" s="285"/>
      <c r="F345" s="254"/>
      <c r="G345" s="151" t="str">
        <f>IF(D345='!'!$GJ$15,'!'!$GJ$15,(SUM(W345,X345,Y345,Z344,Q345)))</f>
        <v>N</v>
      </c>
      <c r="H345" s="51"/>
      <c r="I345" s="299" t="str">
        <f>IF($I$12="","",IFERROR(IF(Report!$D$4='!'!$HE$4,VLOOKUP(A345,Reference!$B$25:$H$390,4,FALSE),VLOOKUP(A345,Monitoring!$B$25:$H$390,4,FALSE)),""))</f>
        <v/>
      </c>
      <c r="J345" s="256"/>
      <c r="K345" s="299" t="str">
        <f>IF($K$12="","",IFERROR(IF(Report!$D$4='!'!$HE$4,VLOOKUP(A345,Reference!$B$25:$H$390,5,FALSE),VLOOKUP(A345,Monitoring!$B$25:$H$390,5,FALSE)),""))</f>
        <v/>
      </c>
      <c r="L345" s="256"/>
      <c r="M345" s="299" t="str">
        <f>IF($M$12="","",IFERROR(IF(Report!$D$4='!'!$HE$4,VLOOKUP(A345,Reference!$B$25:$H$390,6,FALSE),VLOOKUP(A345,Monitoring!$B$25:$H$390,6,FALSE)),""))</f>
        <v/>
      </c>
      <c r="N345" s="256"/>
      <c r="O345" s="299" t="str">
        <f>IF($O$12="","",IFERROR(IF(Report!$D$4='!'!$HE$4,VLOOKUP(A345,Reference!$B$25:$H$390,7,FALSE),VLOOKUP(A345,Monitoring!$B$25:$H$390,7,FALSE)),""))</f>
        <v/>
      </c>
      <c r="P345" s="51"/>
      <c r="Q345" s="151" t="str">
        <f>IF(B345='!'!$GJ$15,'!'!$GJ$15,$Q$12)</f>
        <v>N</v>
      </c>
      <c r="S345" s="4" t="str">
        <f>IFERROR(ABS(T345),'!'!$GJ$15)</f>
        <v>N</v>
      </c>
      <c r="T345" s="84" t="str">
        <f>IFERROR(+G345-D345,'!'!$GJ$15)</f>
        <v>N</v>
      </c>
      <c r="U345" s="64" t="str">
        <f t="shared" si="9"/>
        <v>N</v>
      </c>
      <c r="W345" s="153" t="str">
        <f>IFERROR(I$10*I345,'!'!$GJ$15)</f>
        <v>N</v>
      </c>
      <c r="X345" s="153" t="str">
        <f>IFERROR(K$10*K345,'!'!$GJ$15)</f>
        <v>N</v>
      </c>
      <c r="Y345" s="153" t="str">
        <f>IFERROR(M$10*M345,'!'!$GJ$15)</f>
        <v>N</v>
      </c>
      <c r="Z345" s="153" t="str">
        <f>IFERROR(O$10*O346,'!'!$GJ$15)</f>
        <v>N</v>
      </c>
    </row>
    <row r="346" spans="1:26" x14ac:dyDescent="0.35">
      <c r="A346" s="4">
        <f t="shared" ref="A346:A390" si="10">A345+1</f>
        <v>322</v>
      </c>
      <c r="B346" s="286" t="str">
        <f>IFERROR(IF(Report!$D$4='!'!$HE$4,VLOOKUP(A346,Reference!$B$25:$H$390,2,FALSE),VLOOKUP(A346,Monitoring!$B$25:$H$390,2,FALSE)),'!'!$GJ$15)</f>
        <v>N</v>
      </c>
      <c r="C346" s="58" t="str">
        <f>Reference!A346</f>
        <v/>
      </c>
      <c r="D346" s="287" t="str">
        <f>IFERROR(IF(Report!$D$4='!'!$HE$4,VLOOKUP(A346,Reference!$B$25:$H$390,3,FALSE),VLOOKUP(A346,Monitoring!$B$25:$H$390,3,FALSE)),'!'!$GJ$15)</f>
        <v>N</v>
      </c>
      <c r="E346" s="285"/>
      <c r="F346" s="254"/>
      <c r="G346" s="151" t="str">
        <f>IF(D346='!'!$GJ$15,'!'!$GJ$15,(SUM(W346,X346,Y346,Z345,Q346)))</f>
        <v>N</v>
      </c>
      <c r="H346" s="51"/>
      <c r="I346" s="299" t="str">
        <f>IF($I$12="","",IFERROR(IF(Report!$D$4='!'!$HE$4,VLOOKUP(A346,Reference!$B$25:$H$390,4,FALSE),VLOOKUP(A346,Monitoring!$B$25:$H$390,4,FALSE)),""))</f>
        <v/>
      </c>
      <c r="J346" s="256"/>
      <c r="K346" s="299" t="str">
        <f>IF($K$12="","",IFERROR(IF(Report!$D$4='!'!$HE$4,VLOOKUP(A346,Reference!$B$25:$H$390,5,FALSE),VLOOKUP(A346,Monitoring!$B$25:$H$390,5,FALSE)),""))</f>
        <v/>
      </c>
      <c r="L346" s="256"/>
      <c r="M346" s="299" t="str">
        <f>IF($M$12="","",IFERROR(IF(Report!$D$4='!'!$HE$4,VLOOKUP(A346,Reference!$B$25:$H$390,6,FALSE),VLOOKUP(A346,Monitoring!$B$25:$H$390,6,FALSE)),""))</f>
        <v/>
      </c>
      <c r="N346" s="256"/>
      <c r="O346" s="299" t="str">
        <f>IF($O$12="","",IFERROR(IF(Report!$D$4='!'!$HE$4,VLOOKUP(A346,Reference!$B$25:$H$390,7,FALSE),VLOOKUP(A346,Monitoring!$B$25:$H$390,7,FALSE)),""))</f>
        <v/>
      </c>
      <c r="P346" s="51"/>
      <c r="Q346" s="151" t="str">
        <f>IF(B346='!'!$GJ$15,'!'!$GJ$15,$Q$12)</f>
        <v>N</v>
      </c>
      <c r="S346" s="4" t="str">
        <f>IFERROR(ABS(T346),'!'!$GJ$15)</f>
        <v>N</v>
      </c>
      <c r="T346" s="84" t="str">
        <f>IFERROR(+G346-D346,'!'!$GJ$15)</f>
        <v>N</v>
      </c>
      <c r="U346" s="64" t="str">
        <f t="shared" ref="U346:U390" si="11">B346</f>
        <v>N</v>
      </c>
      <c r="W346" s="153" t="str">
        <f>IFERROR(I$10*I346,'!'!$GJ$15)</f>
        <v>N</v>
      </c>
      <c r="X346" s="153" t="str">
        <f>IFERROR(K$10*K346,'!'!$GJ$15)</f>
        <v>N</v>
      </c>
      <c r="Y346" s="153" t="str">
        <f>IFERROR(M$10*M346,'!'!$GJ$15)</f>
        <v>N</v>
      </c>
      <c r="Z346" s="153" t="str">
        <f>IFERROR(O$10*O347,'!'!$GJ$15)</f>
        <v>N</v>
      </c>
    </row>
    <row r="347" spans="1:26" x14ac:dyDescent="0.35">
      <c r="A347" s="4">
        <f t="shared" si="10"/>
        <v>323</v>
      </c>
      <c r="B347" s="286" t="str">
        <f>IFERROR(IF(Report!$D$4='!'!$HE$4,VLOOKUP(A347,Reference!$B$25:$H$390,2,FALSE),VLOOKUP(A347,Monitoring!$B$25:$H$390,2,FALSE)),'!'!$GJ$15)</f>
        <v>N</v>
      </c>
      <c r="C347" s="58" t="str">
        <f>Reference!A347</f>
        <v/>
      </c>
      <c r="D347" s="287" t="str">
        <f>IFERROR(IF(Report!$D$4='!'!$HE$4,VLOOKUP(A347,Reference!$B$25:$H$390,3,FALSE),VLOOKUP(A347,Monitoring!$B$25:$H$390,3,FALSE)),'!'!$GJ$15)</f>
        <v>N</v>
      </c>
      <c r="E347" s="285"/>
      <c r="F347" s="254"/>
      <c r="G347" s="151" t="str">
        <f>IF(D347='!'!$GJ$15,'!'!$GJ$15,(SUM(W347,X347,Y347,Z346,Q347)))</f>
        <v>N</v>
      </c>
      <c r="H347" s="51"/>
      <c r="I347" s="299" t="str">
        <f>IF($I$12="","",IFERROR(IF(Report!$D$4='!'!$HE$4,VLOOKUP(A347,Reference!$B$25:$H$390,4,FALSE),VLOOKUP(A347,Monitoring!$B$25:$H$390,4,FALSE)),""))</f>
        <v/>
      </c>
      <c r="J347" s="256"/>
      <c r="K347" s="299" t="str">
        <f>IF($K$12="","",IFERROR(IF(Report!$D$4='!'!$HE$4,VLOOKUP(A347,Reference!$B$25:$H$390,5,FALSE),VLOOKUP(A347,Monitoring!$B$25:$H$390,5,FALSE)),""))</f>
        <v/>
      </c>
      <c r="L347" s="256"/>
      <c r="M347" s="299" t="str">
        <f>IF($M$12="","",IFERROR(IF(Report!$D$4='!'!$HE$4,VLOOKUP(A347,Reference!$B$25:$H$390,6,FALSE),VLOOKUP(A347,Monitoring!$B$25:$H$390,6,FALSE)),""))</f>
        <v/>
      </c>
      <c r="N347" s="256"/>
      <c r="O347" s="299" t="str">
        <f>IF($O$12="","",IFERROR(IF(Report!$D$4='!'!$HE$4,VLOOKUP(A347,Reference!$B$25:$H$390,7,FALSE),VLOOKUP(A347,Monitoring!$B$25:$H$390,7,FALSE)),""))</f>
        <v/>
      </c>
      <c r="P347" s="51"/>
      <c r="Q347" s="151" t="str">
        <f>IF(B347='!'!$GJ$15,'!'!$GJ$15,$Q$12)</f>
        <v>N</v>
      </c>
      <c r="S347" s="4" t="str">
        <f>IFERROR(ABS(T347),'!'!$GJ$15)</f>
        <v>N</v>
      </c>
      <c r="T347" s="84" t="str">
        <f>IFERROR(+G347-D347,'!'!$GJ$15)</f>
        <v>N</v>
      </c>
      <c r="U347" s="64" t="str">
        <f t="shared" si="11"/>
        <v>N</v>
      </c>
      <c r="W347" s="153" t="str">
        <f>IFERROR(I$10*I347,'!'!$GJ$15)</f>
        <v>N</v>
      </c>
      <c r="X347" s="153" t="str">
        <f>IFERROR(K$10*K347,'!'!$GJ$15)</f>
        <v>N</v>
      </c>
      <c r="Y347" s="153" t="str">
        <f>IFERROR(M$10*M347,'!'!$GJ$15)</f>
        <v>N</v>
      </c>
      <c r="Z347" s="153" t="str">
        <f>IFERROR(O$10*O348,'!'!$GJ$15)</f>
        <v>N</v>
      </c>
    </row>
    <row r="348" spans="1:26" x14ac:dyDescent="0.35">
      <c r="A348" s="4">
        <f t="shared" si="10"/>
        <v>324</v>
      </c>
      <c r="B348" s="286" t="str">
        <f>IFERROR(IF(Report!$D$4='!'!$HE$4,VLOOKUP(A348,Reference!$B$25:$H$390,2,FALSE),VLOOKUP(A348,Monitoring!$B$25:$H$390,2,FALSE)),'!'!$GJ$15)</f>
        <v>N</v>
      </c>
      <c r="C348" s="58" t="str">
        <f>Reference!A348</f>
        <v/>
      </c>
      <c r="D348" s="287" t="str">
        <f>IFERROR(IF(Report!$D$4='!'!$HE$4,VLOOKUP(A348,Reference!$B$25:$H$390,3,FALSE),VLOOKUP(A348,Monitoring!$B$25:$H$390,3,FALSE)),'!'!$GJ$15)</f>
        <v>N</v>
      </c>
      <c r="E348" s="285"/>
      <c r="F348" s="254"/>
      <c r="G348" s="151" t="str">
        <f>IF(D348='!'!$GJ$15,'!'!$GJ$15,(SUM(W348,X348,Y348,Z347,Q348)))</f>
        <v>N</v>
      </c>
      <c r="H348" s="51"/>
      <c r="I348" s="299" t="str">
        <f>IF($I$12="","",IFERROR(IF(Report!$D$4='!'!$HE$4,VLOOKUP(A348,Reference!$B$25:$H$390,4,FALSE),VLOOKUP(A348,Monitoring!$B$25:$H$390,4,FALSE)),""))</f>
        <v/>
      </c>
      <c r="J348" s="256"/>
      <c r="K348" s="299" t="str">
        <f>IF($K$12="","",IFERROR(IF(Report!$D$4='!'!$HE$4,VLOOKUP(A348,Reference!$B$25:$H$390,5,FALSE),VLOOKUP(A348,Monitoring!$B$25:$H$390,5,FALSE)),""))</f>
        <v/>
      </c>
      <c r="L348" s="256"/>
      <c r="M348" s="299" t="str">
        <f>IF($M$12="","",IFERROR(IF(Report!$D$4='!'!$HE$4,VLOOKUP(A348,Reference!$B$25:$H$390,6,FALSE),VLOOKUP(A348,Monitoring!$B$25:$H$390,6,FALSE)),""))</f>
        <v/>
      </c>
      <c r="N348" s="256"/>
      <c r="O348" s="299" t="str">
        <f>IF($O$12="","",IFERROR(IF(Report!$D$4='!'!$HE$4,VLOOKUP(A348,Reference!$B$25:$H$390,7,FALSE),VLOOKUP(A348,Monitoring!$B$25:$H$390,7,FALSE)),""))</f>
        <v/>
      </c>
      <c r="P348" s="51"/>
      <c r="Q348" s="151" t="str">
        <f>IF(B348='!'!$GJ$15,'!'!$GJ$15,$Q$12)</f>
        <v>N</v>
      </c>
      <c r="S348" s="4" t="str">
        <f>IFERROR(ABS(T348),'!'!$GJ$15)</f>
        <v>N</v>
      </c>
      <c r="T348" s="84" t="str">
        <f>IFERROR(+G348-D348,'!'!$GJ$15)</f>
        <v>N</v>
      </c>
      <c r="U348" s="64" t="str">
        <f t="shared" si="11"/>
        <v>N</v>
      </c>
      <c r="W348" s="153" t="str">
        <f>IFERROR(I$10*I348,'!'!$GJ$15)</f>
        <v>N</v>
      </c>
      <c r="X348" s="153" t="str">
        <f>IFERROR(K$10*K348,'!'!$GJ$15)</f>
        <v>N</v>
      </c>
      <c r="Y348" s="153" t="str">
        <f>IFERROR(M$10*M348,'!'!$GJ$15)</f>
        <v>N</v>
      </c>
      <c r="Z348" s="153" t="str">
        <f>IFERROR(O$10*O349,'!'!$GJ$15)</f>
        <v>N</v>
      </c>
    </row>
    <row r="349" spans="1:26" x14ac:dyDescent="0.35">
      <c r="A349" s="4">
        <f t="shared" si="10"/>
        <v>325</v>
      </c>
      <c r="B349" s="286" t="str">
        <f>IFERROR(IF(Report!$D$4='!'!$HE$4,VLOOKUP(A349,Reference!$B$25:$H$390,2,FALSE),VLOOKUP(A349,Monitoring!$B$25:$H$390,2,FALSE)),'!'!$GJ$15)</f>
        <v>N</v>
      </c>
      <c r="C349" s="58" t="str">
        <f>Reference!A349</f>
        <v/>
      </c>
      <c r="D349" s="287" t="str">
        <f>IFERROR(IF(Report!$D$4='!'!$HE$4,VLOOKUP(A349,Reference!$B$25:$H$390,3,FALSE),VLOOKUP(A349,Monitoring!$B$25:$H$390,3,FALSE)),'!'!$GJ$15)</f>
        <v>N</v>
      </c>
      <c r="E349" s="285"/>
      <c r="F349" s="254"/>
      <c r="G349" s="151" t="str">
        <f>IF(D349='!'!$GJ$15,'!'!$GJ$15,(SUM(W349,X349,Y349,Z348,Q349)))</f>
        <v>N</v>
      </c>
      <c r="H349" s="51"/>
      <c r="I349" s="299" t="str">
        <f>IF($I$12="","",IFERROR(IF(Report!$D$4='!'!$HE$4,VLOOKUP(A349,Reference!$B$25:$H$390,4,FALSE),VLOOKUP(A349,Monitoring!$B$25:$H$390,4,FALSE)),""))</f>
        <v/>
      </c>
      <c r="J349" s="256"/>
      <c r="K349" s="299" t="str">
        <f>IF($K$12="","",IFERROR(IF(Report!$D$4='!'!$HE$4,VLOOKUP(A349,Reference!$B$25:$H$390,5,FALSE),VLOOKUP(A349,Monitoring!$B$25:$H$390,5,FALSE)),""))</f>
        <v/>
      </c>
      <c r="L349" s="256"/>
      <c r="M349" s="299" t="str">
        <f>IF($M$12="","",IFERROR(IF(Report!$D$4='!'!$HE$4,VLOOKUP(A349,Reference!$B$25:$H$390,6,FALSE),VLOOKUP(A349,Monitoring!$B$25:$H$390,6,FALSE)),""))</f>
        <v/>
      </c>
      <c r="N349" s="256"/>
      <c r="O349" s="299" t="str">
        <f>IF($O$12="","",IFERROR(IF(Report!$D$4='!'!$HE$4,VLOOKUP(A349,Reference!$B$25:$H$390,7,FALSE),VLOOKUP(A349,Monitoring!$B$25:$H$390,7,FALSE)),""))</f>
        <v/>
      </c>
      <c r="P349" s="51"/>
      <c r="Q349" s="151" t="str">
        <f>IF(B349='!'!$GJ$15,'!'!$GJ$15,$Q$12)</f>
        <v>N</v>
      </c>
      <c r="S349" s="4" t="str">
        <f>IFERROR(ABS(T349),'!'!$GJ$15)</f>
        <v>N</v>
      </c>
      <c r="T349" s="84" t="str">
        <f>IFERROR(+G349-D349,'!'!$GJ$15)</f>
        <v>N</v>
      </c>
      <c r="U349" s="64" t="str">
        <f t="shared" si="11"/>
        <v>N</v>
      </c>
      <c r="W349" s="153" t="str">
        <f>IFERROR(I$10*I349,'!'!$GJ$15)</f>
        <v>N</v>
      </c>
      <c r="X349" s="153" t="str">
        <f>IFERROR(K$10*K349,'!'!$GJ$15)</f>
        <v>N</v>
      </c>
      <c r="Y349" s="153" t="str">
        <f>IFERROR(M$10*M349,'!'!$GJ$15)</f>
        <v>N</v>
      </c>
      <c r="Z349" s="153" t="str">
        <f>IFERROR(O$10*O350,'!'!$GJ$15)</f>
        <v>N</v>
      </c>
    </row>
    <row r="350" spans="1:26" x14ac:dyDescent="0.35">
      <c r="A350" s="4">
        <f t="shared" si="10"/>
        <v>326</v>
      </c>
      <c r="B350" s="286" t="str">
        <f>IFERROR(IF(Report!$D$4='!'!$HE$4,VLOOKUP(A350,Reference!$B$25:$H$390,2,FALSE),VLOOKUP(A350,Monitoring!$B$25:$H$390,2,FALSE)),'!'!$GJ$15)</f>
        <v>N</v>
      </c>
      <c r="C350" s="58" t="str">
        <f>Reference!A350</f>
        <v/>
      </c>
      <c r="D350" s="287" t="str">
        <f>IFERROR(IF(Report!$D$4='!'!$HE$4,VLOOKUP(A350,Reference!$B$25:$H$390,3,FALSE),VLOOKUP(A350,Monitoring!$B$25:$H$390,3,FALSE)),'!'!$GJ$15)</f>
        <v>N</v>
      </c>
      <c r="E350" s="285"/>
      <c r="F350" s="254"/>
      <c r="G350" s="151" t="str">
        <f>IF(D350='!'!$GJ$15,'!'!$GJ$15,(SUM(W350,X350,Y350,Z349,Q350)))</f>
        <v>N</v>
      </c>
      <c r="H350" s="51"/>
      <c r="I350" s="299" t="str">
        <f>IF($I$12="","",IFERROR(IF(Report!$D$4='!'!$HE$4,VLOOKUP(A350,Reference!$B$25:$H$390,4,FALSE),VLOOKUP(A350,Monitoring!$B$25:$H$390,4,FALSE)),""))</f>
        <v/>
      </c>
      <c r="J350" s="256"/>
      <c r="K350" s="299" t="str">
        <f>IF($K$12="","",IFERROR(IF(Report!$D$4='!'!$HE$4,VLOOKUP(A350,Reference!$B$25:$H$390,5,FALSE),VLOOKUP(A350,Monitoring!$B$25:$H$390,5,FALSE)),""))</f>
        <v/>
      </c>
      <c r="L350" s="256"/>
      <c r="M350" s="299" t="str">
        <f>IF($M$12="","",IFERROR(IF(Report!$D$4='!'!$HE$4,VLOOKUP(A350,Reference!$B$25:$H$390,6,FALSE),VLOOKUP(A350,Monitoring!$B$25:$H$390,6,FALSE)),""))</f>
        <v/>
      </c>
      <c r="N350" s="256"/>
      <c r="O350" s="299" t="str">
        <f>IF($O$12="","",IFERROR(IF(Report!$D$4='!'!$HE$4,VLOOKUP(A350,Reference!$B$25:$H$390,7,FALSE),VLOOKUP(A350,Monitoring!$B$25:$H$390,7,FALSE)),""))</f>
        <v/>
      </c>
      <c r="P350" s="51"/>
      <c r="Q350" s="151" t="str">
        <f>IF(B350='!'!$GJ$15,'!'!$GJ$15,$Q$12)</f>
        <v>N</v>
      </c>
      <c r="S350" s="4" t="str">
        <f>IFERROR(ABS(T350),'!'!$GJ$15)</f>
        <v>N</v>
      </c>
      <c r="T350" s="84" t="str">
        <f>IFERROR(+G350-D350,'!'!$GJ$15)</f>
        <v>N</v>
      </c>
      <c r="U350" s="64" t="str">
        <f t="shared" si="11"/>
        <v>N</v>
      </c>
      <c r="W350" s="153" t="str">
        <f>IFERROR(I$10*I350,'!'!$GJ$15)</f>
        <v>N</v>
      </c>
      <c r="X350" s="153" t="str">
        <f>IFERROR(K$10*K350,'!'!$GJ$15)</f>
        <v>N</v>
      </c>
      <c r="Y350" s="153" t="str">
        <f>IFERROR(M$10*M350,'!'!$GJ$15)</f>
        <v>N</v>
      </c>
      <c r="Z350" s="153" t="str">
        <f>IFERROR(O$10*O351,'!'!$GJ$15)</f>
        <v>N</v>
      </c>
    </row>
    <row r="351" spans="1:26" x14ac:dyDescent="0.35">
      <c r="A351" s="4">
        <f t="shared" si="10"/>
        <v>327</v>
      </c>
      <c r="B351" s="286" t="str">
        <f>IFERROR(IF(Report!$D$4='!'!$HE$4,VLOOKUP(A351,Reference!$B$25:$H$390,2,FALSE),VLOOKUP(A351,Monitoring!$B$25:$H$390,2,FALSE)),'!'!$GJ$15)</f>
        <v>N</v>
      </c>
      <c r="C351" s="58" t="str">
        <f>Reference!A351</f>
        <v/>
      </c>
      <c r="D351" s="287" t="str">
        <f>IFERROR(IF(Report!$D$4='!'!$HE$4,VLOOKUP(A351,Reference!$B$25:$H$390,3,FALSE),VLOOKUP(A351,Monitoring!$B$25:$H$390,3,FALSE)),'!'!$GJ$15)</f>
        <v>N</v>
      </c>
      <c r="E351" s="285"/>
      <c r="F351" s="254"/>
      <c r="G351" s="151" t="str">
        <f>IF(D351='!'!$GJ$15,'!'!$GJ$15,(SUM(W351,X351,Y351,Z350,Q351)))</f>
        <v>N</v>
      </c>
      <c r="H351" s="51"/>
      <c r="I351" s="299" t="str">
        <f>IF($I$12="","",IFERROR(IF(Report!$D$4='!'!$HE$4,VLOOKUP(A351,Reference!$B$25:$H$390,4,FALSE),VLOOKUP(A351,Monitoring!$B$25:$H$390,4,FALSE)),""))</f>
        <v/>
      </c>
      <c r="J351" s="256"/>
      <c r="K351" s="299" t="str">
        <f>IF($K$12="","",IFERROR(IF(Report!$D$4='!'!$HE$4,VLOOKUP(A351,Reference!$B$25:$H$390,5,FALSE),VLOOKUP(A351,Monitoring!$B$25:$H$390,5,FALSE)),""))</f>
        <v/>
      </c>
      <c r="L351" s="256"/>
      <c r="M351" s="299" t="str">
        <f>IF($M$12="","",IFERROR(IF(Report!$D$4='!'!$HE$4,VLOOKUP(A351,Reference!$B$25:$H$390,6,FALSE),VLOOKUP(A351,Monitoring!$B$25:$H$390,6,FALSE)),""))</f>
        <v/>
      </c>
      <c r="N351" s="256"/>
      <c r="O351" s="299" t="str">
        <f>IF($O$12="","",IFERROR(IF(Report!$D$4='!'!$HE$4,VLOOKUP(A351,Reference!$B$25:$H$390,7,FALSE),VLOOKUP(A351,Monitoring!$B$25:$H$390,7,FALSE)),""))</f>
        <v/>
      </c>
      <c r="P351" s="51"/>
      <c r="Q351" s="151" t="str">
        <f>IF(B351='!'!$GJ$15,'!'!$GJ$15,$Q$12)</f>
        <v>N</v>
      </c>
      <c r="S351" s="4" t="str">
        <f>IFERROR(ABS(T351),'!'!$GJ$15)</f>
        <v>N</v>
      </c>
      <c r="T351" s="84" t="str">
        <f>IFERROR(+G351-D351,'!'!$GJ$15)</f>
        <v>N</v>
      </c>
      <c r="U351" s="64" t="str">
        <f t="shared" si="11"/>
        <v>N</v>
      </c>
      <c r="W351" s="153" t="str">
        <f>IFERROR(I$10*I351,'!'!$GJ$15)</f>
        <v>N</v>
      </c>
      <c r="X351" s="153" t="str">
        <f>IFERROR(K$10*K351,'!'!$GJ$15)</f>
        <v>N</v>
      </c>
      <c r="Y351" s="153" t="str">
        <f>IFERROR(M$10*M351,'!'!$GJ$15)</f>
        <v>N</v>
      </c>
      <c r="Z351" s="153" t="str">
        <f>IFERROR(O$10*O352,'!'!$GJ$15)</f>
        <v>N</v>
      </c>
    </row>
    <row r="352" spans="1:26" x14ac:dyDescent="0.35">
      <c r="A352" s="4">
        <f t="shared" si="10"/>
        <v>328</v>
      </c>
      <c r="B352" s="286" t="str">
        <f>IFERROR(IF(Report!$D$4='!'!$HE$4,VLOOKUP(A352,Reference!$B$25:$H$390,2,FALSE),VLOOKUP(A352,Monitoring!$B$25:$H$390,2,FALSE)),'!'!$GJ$15)</f>
        <v>N</v>
      </c>
      <c r="C352" s="58" t="str">
        <f>Reference!A352</f>
        <v/>
      </c>
      <c r="D352" s="287" t="str">
        <f>IFERROR(IF(Report!$D$4='!'!$HE$4,VLOOKUP(A352,Reference!$B$25:$H$390,3,FALSE),VLOOKUP(A352,Monitoring!$B$25:$H$390,3,FALSE)),'!'!$GJ$15)</f>
        <v>N</v>
      </c>
      <c r="E352" s="285"/>
      <c r="F352" s="254"/>
      <c r="G352" s="151" t="str">
        <f>IF(D352='!'!$GJ$15,'!'!$GJ$15,(SUM(W352,X352,Y352,Z351,Q352)))</f>
        <v>N</v>
      </c>
      <c r="H352" s="51"/>
      <c r="I352" s="299" t="str">
        <f>IF($I$12="","",IFERROR(IF(Report!$D$4='!'!$HE$4,VLOOKUP(A352,Reference!$B$25:$H$390,4,FALSE),VLOOKUP(A352,Monitoring!$B$25:$H$390,4,FALSE)),""))</f>
        <v/>
      </c>
      <c r="J352" s="256"/>
      <c r="K352" s="299" t="str">
        <f>IF($K$12="","",IFERROR(IF(Report!$D$4='!'!$HE$4,VLOOKUP(A352,Reference!$B$25:$H$390,5,FALSE),VLOOKUP(A352,Monitoring!$B$25:$H$390,5,FALSE)),""))</f>
        <v/>
      </c>
      <c r="L352" s="256"/>
      <c r="M352" s="299" t="str">
        <f>IF($M$12="","",IFERROR(IF(Report!$D$4='!'!$HE$4,VLOOKUP(A352,Reference!$B$25:$H$390,6,FALSE),VLOOKUP(A352,Monitoring!$B$25:$H$390,6,FALSE)),""))</f>
        <v/>
      </c>
      <c r="N352" s="256"/>
      <c r="O352" s="299" t="str">
        <f>IF($O$12="","",IFERROR(IF(Report!$D$4='!'!$HE$4,VLOOKUP(A352,Reference!$B$25:$H$390,7,FALSE),VLOOKUP(A352,Monitoring!$B$25:$H$390,7,FALSE)),""))</f>
        <v/>
      </c>
      <c r="P352" s="51"/>
      <c r="Q352" s="151" t="str">
        <f>IF(B352='!'!$GJ$15,'!'!$GJ$15,$Q$12)</f>
        <v>N</v>
      </c>
      <c r="S352" s="4" t="str">
        <f>IFERROR(ABS(T352),'!'!$GJ$15)</f>
        <v>N</v>
      </c>
      <c r="T352" s="84" t="str">
        <f>IFERROR(+G352-D352,'!'!$GJ$15)</f>
        <v>N</v>
      </c>
      <c r="U352" s="64" t="str">
        <f t="shared" si="11"/>
        <v>N</v>
      </c>
      <c r="W352" s="153" t="str">
        <f>IFERROR(I$10*I352,'!'!$GJ$15)</f>
        <v>N</v>
      </c>
      <c r="X352" s="153" t="str">
        <f>IFERROR(K$10*K352,'!'!$GJ$15)</f>
        <v>N</v>
      </c>
      <c r="Y352" s="153" t="str">
        <f>IFERROR(M$10*M352,'!'!$GJ$15)</f>
        <v>N</v>
      </c>
      <c r="Z352" s="153" t="str">
        <f>IFERROR(O$10*O353,'!'!$GJ$15)</f>
        <v>N</v>
      </c>
    </row>
    <row r="353" spans="1:26" x14ac:dyDescent="0.35">
      <c r="A353" s="4">
        <f t="shared" si="10"/>
        <v>329</v>
      </c>
      <c r="B353" s="286" t="str">
        <f>IFERROR(IF(Report!$D$4='!'!$HE$4,VLOOKUP(A353,Reference!$B$25:$H$390,2,FALSE),VLOOKUP(A353,Monitoring!$B$25:$H$390,2,FALSE)),'!'!$GJ$15)</f>
        <v>N</v>
      </c>
      <c r="C353" s="58" t="str">
        <f>Reference!A353</f>
        <v/>
      </c>
      <c r="D353" s="287" t="str">
        <f>IFERROR(IF(Report!$D$4='!'!$HE$4,VLOOKUP(A353,Reference!$B$25:$H$390,3,FALSE),VLOOKUP(A353,Monitoring!$B$25:$H$390,3,FALSE)),'!'!$GJ$15)</f>
        <v>N</v>
      </c>
      <c r="E353" s="285"/>
      <c r="F353" s="254"/>
      <c r="G353" s="151" t="str">
        <f>IF(D353='!'!$GJ$15,'!'!$GJ$15,(SUM(W353,X353,Y353,Z352,Q353)))</f>
        <v>N</v>
      </c>
      <c r="H353" s="51"/>
      <c r="I353" s="299" t="str">
        <f>IF($I$12="","",IFERROR(IF(Report!$D$4='!'!$HE$4,VLOOKUP(A353,Reference!$B$25:$H$390,4,FALSE),VLOOKUP(A353,Monitoring!$B$25:$H$390,4,FALSE)),""))</f>
        <v/>
      </c>
      <c r="J353" s="256"/>
      <c r="K353" s="299" t="str">
        <f>IF($K$12="","",IFERROR(IF(Report!$D$4='!'!$HE$4,VLOOKUP(A353,Reference!$B$25:$H$390,5,FALSE),VLOOKUP(A353,Monitoring!$B$25:$H$390,5,FALSE)),""))</f>
        <v/>
      </c>
      <c r="L353" s="256"/>
      <c r="M353" s="299" t="str">
        <f>IF($M$12="","",IFERROR(IF(Report!$D$4='!'!$HE$4,VLOOKUP(A353,Reference!$B$25:$H$390,6,FALSE),VLOOKUP(A353,Monitoring!$B$25:$H$390,6,FALSE)),""))</f>
        <v/>
      </c>
      <c r="N353" s="256"/>
      <c r="O353" s="299" t="str">
        <f>IF($O$12="","",IFERROR(IF(Report!$D$4='!'!$HE$4,VLOOKUP(A353,Reference!$B$25:$H$390,7,FALSE),VLOOKUP(A353,Monitoring!$B$25:$H$390,7,FALSE)),""))</f>
        <v/>
      </c>
      <c r="P353" s="51"/>
      <c r="Q353" s="151" t="str">
        <f>IF(B353='!'!$GJ$15,'!'!$GJ$15,$Q$12)</f>
        <v>N</v>
      </c>
      <c r="S353" s="4" t="str">
        <f>IFERROR(ABS(T353),'!'!$GJ$15)</f>
        <v>N</v>
      </c>
      <c r="T353" s="84" t="str">
        <f>IFERROR(+G353-D353,'!'!$GJ$15)</f>
        <v>N</v>
      </c>
      <c r="U353" s="64" t="str">
        <f t="shared" si="11"/>
        <v>N</v>
      </c>
      <c r="W353" s="153" t="str">
        <f>IFERROR(I$10*I353,'!'!$GJ$15)</f>
        <v>N</v>
      </c>
      <c r="X353" s="153" t="str">
        <f>IFERROR(K$10*K353,'!'!$GJ$15)</f>
        <v>N</v>
      </c>
      <c r="Y353" s="153" t="str">
        <f>IFERROR(M$10*M353,'!'!$GJ$15)</f>
        <v>N</v>
      </c>
      <c r="Z353" s="153" t="str">
        <f>IFERROR(O$10*O354,'!'!$GJ$15)</f>
        <v>N</v>
      </c>
    </row>
    <row r="354" spans="1:26" x14ac:dyDescent="0.35">
      <c r="A354" s="4">
        <f t="shared" si="10"/>
        <v>330</v>
      </c>
      <c r="B354" s="286" t="str">
        <f>IFERROR(IF(Report!$D$4='!'!$HE$4,VLOOKUP(A354,Reference!$B$25:$H$390,2,FALSE),VLOOKUP(A354,Monitoring!$B$25:$H$390,2,FALSE)),'!'!$GJ$15)</f>
        <v>N</v>
      </c>
      <c r="C354" s="58" t="str">
        <f>Reference!A354</f>
        <v/>
      </c>
      <c r="D354" s="287" t="str">
        <f>IFERROR(IF(Report!$D$4='!'!$HE$4,VLOOKUP(A354,Reference!$B$25:$H$390,3,FALSE),VLOOKUP(A354,Monitoring!$B$25:$H$390,3,FALSE)),'!'!$GJ$15)</f>
        <v>N</v>
      </c>
      <c r="E354" s="285"/>
      <c r="F354" s="254"/>
      <c r="G354" s="151" t="str">
        <f>IF(D354='!'!$GJ$15,'!'!$GJ$15,(SUM(W354,X354,Y354,Z353,Q354)))</f>
        <v>N</v>
      </c>
      <c r="H354" s="51"/>
      <c r="I354" s="299" t="str">
        <f>IF($I$12="","",IFERROR(IF(Report!$D$4='!'!$HE$4,VLOOKUP(A354,Reference!$B$25:$H$390,4,FALSE),VLOOKUP(A354,Monitoring!$B$25:$H$390,4,FALSE)),""))</f>
        <v/>
      </c>
      <c r="J354" s="256"/>
      <c r="K354" s="299" t="str">
        <f>IF($K$12="","",IFERROR(IF(Report!$D$4='!'!$HE$4,VLOOKUP(A354,Reference!$B$25:$H$390,5,FALSE),VLOOKUP(A354,Monitoring!$B$25:$H$390,5,FALSE)),""))</f>
        <v/>
      </c>
      <c r="L354" s="256"/>
      <c r="M354" s="299" t="str">
        <f>IF($M$12="","",IFERROR(IF(Report!$D$4='!'!$HE$4,VLOOKUP(A354,Reference!$B$25:$H$390,6,FALSE),VLOOKUP(A354,Monitoring!$B$25:$H$390,6,FALSE)),""))</f>
        <v/>
      </c>
      <c r="N354" s="256"/>
      <c r="O354" s="299" t="str">
        <f>IF($O$12="","",IFERROR(IF(Report!$D$4='!'!$HE$4,VLOOKUP(A354,Reference!$B$25:$H$390,7,FALSE),VLOOKUP(A354,Monitoring!$B$25:$H$390,7,FALSE)),""))</f>
        <v/>
      </c>
      <c r="P354" s="51"/>
      <c r="Q354" s="151" t="str">
        <f>IF(B354='!'!$GJ$15,'!'!$GJ$15,$Q$12)</f>
        <v>N</v>
      </c>
      <c r="S354" s="4" t="str">
        <f>IFERROR(ABS(T354),'!'!$GJ$15)</f>
        <v>N</v>
      </c>
      <c r="T354" s="84" t="str">
        <f>IFERROR(+G354-D354,'!'!$GJ$15)</f>
        <v>N</v>
      </c>
      <c r="U354" s="64" t="str">
        <f t="shared" si="11"/>
        <v>N</v>
      </c>
      <c r="W354" s="153" t="str">
        <f>IFERROR(I$10*I354,'!'!$GJ$15)</f>
        <v>N</v>
      </c>
      <c r="X354" s="153" t="str">
        <f>IFERROR(K$10*K354,'!'!$GJ$15)</f>
        <v>N</v>
      </c>
      <c r="Y354" s="153" t="str">
        <f>IFERROR(M$10*M354,'!'!$GJ$15)</f>
        <v>N</v>
      </c>
      <c r="Z354" s="153" t="str">
        <f>IFERROR(O$10*O355,'!'!$GJ$15)</f>
        <v>N</v>
      </c>
    </row>
    <row r="355" spans="1:26" x14ac:dyDescent="0.35">
      <c r="A355" s="4">
        <f t="shared" si="10"/>
        <v>331</v>
      </c>
      <c r="B355" s="286" t="str">
        <f>IFERROR(IF(Report!$D$4='!'!$HE$4,VLOOKUP(A355,Reference!$B$25:$H$390,2,FALSE),VLOOKUP(A355,Monitoring!$B$25:$H$390,2,FALSE)),'!'!$GJ$15)</f>
        <v>N</v>
      </c>
      <c r="C355" s="58" t="str">
        <f>Reference!A355</f>
        <v/>
      </c>
      <c r="D355" s="287" t="str">
        <f>IFERROR(IF(Report!$D$4='!'!$HE$4,VLOOKUP(A355,Reference!$B$25:$H$390,3,FALSE),VLOOKUP(A355,Monitoring!$B$25:$H$390,3,FALSE)),'!'!$GJ$15)</f>
        <v>N</v>
      </c>
      <c r="E355" s="285"/>
      <c r="F355" s="254"/>
      <c r="G355" s="151" t="str">
        <f>IF(D355='!'!$GJ$15,'!'!$GJ$15,(SUM(W355,X355,Y355,Z354,Q355)))</f>
        <v>N</v>
      </c>
      <c r="H355" s="51"/>
      <c r="I355" s="299" t="str">
        <f>IF($I$12="","",IFERROR(IF(Report!$D$4='!'!$HE$4,VLOOKUP(A355,Reference!$B$25:$H$390,4,FALSE),VLOOKUP(A355,Monitoring!$B$25:$H$390,4,FALSE)),""))</f>
        <v/>
      </c>
      <c r="J355" s="256"/>
      <c r="K355" s="299" t="str">
        <f>IF($K$12="","",IFERROR(IF(Report!$D$4='!'!$HE$4,VLOOKUP(A355,Reference!$B$25:$H$390,5,FALSE),VLOOKUP(A355,Monitoring!$B$25:$H$390,5,FALSE)),""))</f>
        <v/>
      </c>
      <c r="L355" s="256"/>
      <c r="M355" s="299" t="str">
        <f>IF($M$12="","",IFERROR(IF(Report!$D$4='!'!$HE$4,VLOOKUP(A355,Reference!$B$25:$H$390,6,FALSE),VLOOKUP(A355,Monitoring!$B$25:$H$390,6,FALSE)),""))</f>
        <v/>
      </c>
      <c r="N355" s="256"/>
      <c r="O355" s="299" t="str">
        <f>IF($O$12="","",IFERROR(IF(Report!$D$4='!'!$HE$4,VLOOKUP(A355,Reference!$B$25:$H$390,7,FALSE),VLOOKUP(A355,Monitoring!$B$25:$H$390,7,FALSE)),""))</f>
        <v/>
      </c>
      <c r="P355" s="51"/>
      <c r="Q355" s="151" t="str">
        <f>IF(B355='!'!$GJ$15,'!'!$GJ$15,$Q$12)</f>
        <v>N</v>
      </c>
      <c r="S355" s="4" t="str">
        <f>IFERROR(ABS(T355),'!'!$GJ$15)</f>
        <v>N</v>
      </c>
      <c r="T355" s="84" t="str">
        <f>IFERROR(+G355-D355,'!'!$GJ$15)</f>
        <v>N</v>
      </c>
      <c r="U355" s="64" t="str">
        <f t="shared" si="11"/>
        <v>N</v>
      </c>
      <c r="W355" s="153" t="str">
        <f>IFERROR(I$10*I355,'!'!$GJ$15)</f>
        <v>N</v>
      </c>
      <c r="X355" s="153" t="str">
        <f>IFERROR(K$10*K355,'!'!$GJ$15)</f>
        <v>N</v>
      </c>
      <c r="Y355" s="153" t="str">
        <f>IFERROR(M$10*M355,'!'!$GJ$15)</f>
        <v>N</v>
      </c>
      <c r="Z355" s="153" t="str">
        <f>IFERROR(O$10*O356,'!'!$GJ$15)</f>
        <v>N</v>
      </c>
    </row>
    <row r="356" spans="1:26" x14ac:dyDescent="0.35">
      <c r="A356" s="4">
        <f t="shared" si="10"/>
        <v>332</v>
      </c>
      <c r="B356" s="286" t="str">
        <f>IFERROR(IF(Report!$D$4='!'!$HE$4,VLOOKUP(A356,Reference!$B$25:$H$390,2,FALSE),VLOOKUP(A356,Monitoring!$B$25:$H$390,2,FALSE)),'!'!$GJ$15)</f>
        <v>N</v>
      </c>
      <c r="C356" s="58" t="str">
        <f>Reference!A356</f>
        <v/>
      </c>
      <c r="D356" s="287" t="str">
        <f>IFERROR(IF(Report!$D$4='!'!$HE$4,VLOOKUP(A356,Reference!$B$25:$H$390,3,FALSE),VLOOKUP(A356,Monitoring!$B$25:$H$390,3,FALSE)),'!'!$GJ$15)</f>
        <v>N</v>
      </c>
      <c r="E356" s="285"/>
      <c r="F356" s="254"/>
      <c r="G356" s="151" t="str">
        <f>IF(D356='!'!$GJ$15,'!'!$GJ$15,(SUM(W356,X356,Y356,Z355,Q356)))</f>
        <v>N</v>
      </c>
      <c r="H356" s="51"/>
      <c r="I356" s="299" t="str">
        <f>IF($I$12="","",IFERROR(IF(Report!$D$4='!'!$HE$4,VLOOKUP(A356,Reference!$B$25:$H$390,4,FALSE),VLOOKUP(A356,Monitoring!$B$25:$H$390,4,FALSE)),""))</f>
        <v/>
      </c>
      <c r="J356" s="256"/>
      <c r="K356" s="299" t="str">
        <f>IF($K$12="","",IFERROR(IF(Report!$D$4='!'!$HE$4,VLOOKUP(A356,Reference!$B$25:$H$390,5,FALSE),VLOOKUP(A356,Monitoring!$B$25:$H$390,5,FALSE)),""))</f>
        <v/>
      </c>
      <c r="L356" s="256"/>
      <c r="M356" s="299" t="str">
        <f>IF($M$12="","",IFERROR(IF(Report!$D$4='!'!$HE$4,VLOOKUP(A356,Reference!$B$25:$H$390,6,FALSE),VLOOKUP(A356,Monitoring!$B$25:$H$390,6,FALSE)),""))</f>
        <v/>
      </c>
      <c r="N356" s="256"/>
      <c r="O356" s="299" t="str">
        <f>IF($O$12="","",IFERROR(IF(Report!$D$4='!'!$HE$4,VLOOKUP(A356,Reference!$B$25:$H$390,7,FALSE),VLOOKUP(A356,Monitoring!$B$25:$H$390,7,FALSE)),""))</f>
        <v/>
      </c>
      <c r="P356" s="51"/>
      <c r="Q356" s="151" t="str">
        <f>IF(B356='!'!$GJ$15,'!'!$GJ$15,$Q$12)</f>
        <v>N</v>
      </c>
      <c r="S356" s="4" t="str">
        <f>IFERROR(ABS(T356),'!'!$GJ$15)</f>
        <v>N</v>
      </c>
      <c r="T356" s="84" t="str">
        <f>IFERROR(+G356-D356,'!'!$GJ$15)</f>
        <v>N</v>
      </c>
      <c r="U356" s="64" t="str">
        <f t="shared" si="11"/>
        <v>N</v>
      </c>
      <c r="W356" s="153" t="str">
        <f>IFERROR(I$10*I356,'!'!$GJ$15)</f>
        <v>N</v>
      </c>
      <c r="X356" s="153" t="str">
        <f>IFERROR(K$10*K356,'!'!$GJ$15)</f>
        <v>N</v>
      </c>
      <c r="Y356" s="153" t="str">
        <f>IFERROR(M$10*M356,'!'!$GJ$15)</f>
        <v>N</v>
      </c>
      <c r="Z356" s="153" t="str">
        <f>IFERROR(O$10*O357,'!'!$GJ$15)</f>
        <v>N</v>
      </c>
    </row>
    <row r="357" spans="1:26" x14ac:dyDescent="0.35">
      <c r="A357" s="4">
        <f t="shared" si="10"/>
        <v>333</v>
      </c>
      <c r="B357" s="286" t="str">
        <f>IFERROR(IF(Report!$D$4='!'!$HE$4,VLOOKUP(A357,Reference!$B$25:$H$390,2,FALSE),VLOOKUP(A357,Monitoring!$B$25:$H$390,2,FALSE)),'!'!$GJ$15)</f>
        <v>N</v>
      </c>
      <c r="C357" s="58" t="str">
        <f>Reference!A357</f>
        <v/>
      </c>
      <c r="D357" s="287" t="str">
        <f>IFERROR(IF(Report!$D$4='!'!$HE$4,VLOOKUP(A357,Reference!$B$25:$H$390,3,FALSE),VLOOKUP(A357,Monitoring!$B$25:$H$390,3,FALSE)),'!'!$GJ$15)</f>
        <v>N</v>
      </c>
      <c r="E357" s="285"/>
      <c r="F357" s="254"/>
      <c r="G357" s="151" t="str">
        <f>IF(D357='!'!$GJ$15,'!'!$GJ$15,(SUM(W357,X357,Y357,Z356,Q357)))</f>
        <v>N</v>
      </c>
      <c r="H357" s="51"/>
      <c r="I357" s="299" t="str">
        <f>IF($I$12="","",IFERROR(IF(Report!$D$4='!'!$HE$4,VLOOKUP(A357,Reference!$B$25:$H$390,4,FALSE),VLOOKUP(A357,Monitoring!$B$25:$H$390,4,FALSE)),""))</f>
        <v/>
      </c>
      <c r="J357" s="256"/>
      <c r="K357" s="299" t="str">
        <f>IF($K$12="","",IFERROR(IF(Report!$D$4='!'!$HE$4,VLOOKUP(A357,Reference!$B$25:$H$390,5,FALSE),VLOOKUP(A357,Monitoring!$B$25:$H$390,5,FALSE)),""))</f>
        <v/>
      </c>
      <c r="L357" s="256"/>
      <c r="M357" s="299" t="str">
        <f>IF($M$12="","",IFERROR(IF(Report!$D$4='!'!$HE$4,VLOOKUP(A357,Reference!$B$25:$H$390,6,FALSE),VLOOKUP(A357,Monitoring!$B$25:$H$390,6,FALSE)),""))</f>
        <v/>
      </c>
      <c r="N357" s="256"/>
      <c r="O357" s="299" t="str">
        <f>IF($O$12="","",IFERROR(IF(Report!$D$4='!'!$HE$4,VLOOKUP(A357,Reference!$B$25:$H$390,7,FALSE),VLOOKUP(A357,Monitoring!$B$25:$H$390,7,FALSE)),""))</f>
        <v/>
      </c>
      <c r="P357" s="51"/>
      <c r="Q357" s="151" t="str">
        <f>IF(B357='!'!$GJ$15,'!'!$GJ$15,$Q$12)</f>
        <v>N</v>
      </c>
      <c r="S357" s="4" t="str">
        <f>IFERROR(ABS(T357),'!'!$GJ$15)</f>
        <v>N</v>
      </c>
      <c r="T357" s="84" t="str">
        <f>IFERROR(+G357-D357,'!'!$GJ$15)</f>
        <v>N</v>
      </c>
      <c r="U357" s="64" t="str">
        <f t="shared" si="11"/>
        <v>N</v>
      </c>
      <c r="W357" s="153" t="str">
        <f>IFERROR(I$10*I357,'!'!$GJ$15)</f>
        <v>N</v>
      </c>
      <c r="X357" s="153" t="str">
        <f>IFERROR(K$10*K357,'!'!$GJ$15)</f>
        <v>N</v>
      </c>
      <c r="Y357" s="153" t="str">
        <f>IFERROR(M$10*M357,'!'!$GJ$15)</f>
        <v>N</v>
      </c>
      <c r="Z357" s="153" t="str">
        <f>IFERROR(O$10*O358,'!'!$GJ$15)</f>
        <v>N</v>
      </c>
    </row>
    <row r="358" spans="1:26" x14ac:dyDescent="0.35">
      <c r="A358" s="4">
        <f t="shared" si="10"/>
        <v>334</v>
      </c>
      <c r="B358" s="286" t="str">
        <f>IFERROR(IF(Report!$D$4='!'!$HE$4,VLOOKUP(A358,Reference!$B$25:$H$390,2,FALSE),VLOOKUP(A358,Monitoring!$B$25:$H$390,2,FALSE)),'!'!$GJ$15)</f>
        <v>N</v>
      </c>
      <c r="C358" s="58" t="str">
        <f>Reference!A358</f>
        <v/>
      </c>
      <c r="D358" s="287" t="str">
        <f>IFERROR(IF(Report!$D$4='!'!$HE$4,VLOOKUP(A358,Reference!$B$25:$H$390,3,FALSE),VLOOKUP(A358,Monitoring!$B$25:$H$390,3,FALSE)),'!'!$GJ$15)</f>
        <v>N</v>
      </c>
      <c r="E358" s="285"/>
      <c r="F358" s="254"/>
      <c r="G358" s="151" t="str">
        <f>IF(D358='!'!$GJ$15,'!'!$GJ$15,(SUM(W358,X358,Y358,Z357,Q358)))</f>
        <v>N</v>
      </c>
      <c r="H358" s="51"/>
      <c r="I358" s="299" t="str">
        <f>IF($I$12="","",IFERROR(IF(Report!$D$4='!'!$HE$4,VLOOKUP(A358,Reference!$B$25:$H$390,4,FALSE),VLOOKUP(A358,Monitoring!$B$25:$H$390,4,FALSE)),""))</f>
        <v/>
      </c>
      <c r="J358" s="256"/>
      <c r="K358" s="299" t="str">
        <f>IF($K$12="","",IFERROR(IF(Report!$D$4='!'!$HE$4,VLOOKUP(A358,Reference!$B$25:$H$390,5,FALSE),VLOOKUP(A358,Monitoring!$B$25:$H$390,5,FALSE)),""))</f>
        <v/>
      </c>
      <c r="L358" s="256"/>
      <c r="M358" s="299" t="str">
        <f>IF($M$12="","",IFERROR(IF(Report!$D$4='!'!$HE$4,VLOOKUP(A358,Reference!$B$25:$H$390,6,FALSE),VLOOKUP(A358,Monitoring!$B$25:$H$390,6,FALSE)),""))</f>
        <v/>
      </c>
      <c r="N358" s="256"/>
      <c r="O358" s="299" t="str">
        <f>IF($O$12="","",IFERROR(IF(Report!$D$4='!'!$HE$4,VLOOKUP(A358,Reference!$B$25:$H$390,7,FALSE),VLOOKUP(A358,Monitoring!$B$25:$H$390,7,FALSE)),""))</f>
        <v/>
      </c>
      <c r="P358" s="51"/>
      <c r="Q358" s="151" t="str">
        <f>IF(B358='!'!$GJ$15,'!'!$GJ$15,$Q$12)</f>
        <v>N</v>
      </c>
      <c r="S358" s="4" t="str">
        <f>IFERROR(ABS(T358),'!'!$GJ$15)</f>
        <v>N</v>
      </c>
      <c r="T358" s="84" t="str">
        <f>IFERROR(+G358-D358,'!'!$GJ$15)</f>
        <v>N</v>
      </c>
      <c r="U358" s="64" t="str">
        <f t="shared" si="11"/>
        <v>N</v>
      </c>
      <c r="W358" s="153" t="str">
        <f>IFERROR(I$10*I358,'!'!$GJ$15)</f>
        <v>N</v>
      </c>
      <c r="X358" s="153" t="str">
        <f>IFERROR(K$10*K358,'!'!$GJ$15)</f>
        <v>N</v>
      </c>
      <c r="Y358" s="153" t="str">
        <f>IFERROR(M$10*M358,'!'!$GJ$15)</f>
        <v>N</v>
      </c>
      <c r="Z358" s="153" t="str">
        <f>IFERROR(O$10*O359,'!'!$GJ$15)</f>
        <v>N</v>
      </c>
    </row>
    <row r="359" spans="1:26" x14ac:dyDescent="0.35">
      <c r="A359" s="4">
        <f t="shared" si="10"/>
        <v>335</v>
      </c>
      <c r="B359" s="286" t="str">
        <f>IFERROR(IF(Report!$D$4='!'!$HE$4,VLOOKUP(A359,Reference!$B$25:$H$390,2,FALSE),VLOOKUP(A359,Monitoring!$B$25:$H$390,2,FALSE)),'!'!$GJ$15)</f>
        <v>N</v>
      </c>
      <c r="C359" s="58" t="str">
        <f>Reference!A359</f>
        <v/>
      </c>
      <c r="D359" s="287" t="str">
        <f>IFERROR(IF(Report!$D$4='!'!$HE$4,VLOOKUP(A359,Reference!$B$25:$H$390,3,FALSE),VLOOKUP(A359,Monitoring!$B$25:$H$390,3,FALSE)),'!'!$GJ$15)</f>
        <v>N</v>
      </c>
      <c r="E359" s="285"/>
      <c r="F359" s="254"/>
      <c r="G359" s="151" t="str">
        <f>IF(D359='!'!$GJ$15,'!'!$GJ$15,(SUM(W359,X359,Y359,Z358,Q359)))</f>
        <v>N</v>
      </c>
      <c r="H359" s="51"/>
      <c r="I359" s="299" t="str">
        <f>IF($I$12="","",IFERROR(IF(Report!$D$4='!'!$HE$4,VLOOKUP(A359,Reference!$B$25:$H$390,4,FALSE),VLOOKUP(A359,Monitoring!$B$25:$H$390,4,FALSE)),""))</f>
        <v/>
      </c>
      <c r="J359" s="256"/>
      <c r="K359" s="299" t="str">
        <f>IF($K$12="","",IFERROR(IF(Report!$D$4='!'!$HE$4,VLOOKUP(A359,Reference!$B$25:$H$390,5,FALSE),VLOOKUP(A359,Monitoring!$B$25:$H$390,5,FALSE)),""))</f>
        <v/>
      </c>
      <c r="L359" s="256"/>
      <c r="M359" s="299" t="str">
        <f>IF($M$12="","",IFERROR(IF(Report!$D$4='!'!$HE$4,VLOOKUP(A359,Reference!$B$25:$H$390,6,FALSE),VLOOKUP(A359,Monitoring!$B$25:$H$390,6,FALSE)),""))</f>
        <v/>
      </c>
      <c r="N359" s="256"/>
      <c r="O359" s="299" t="str">
        <f>IF($O$12="","",IFERROR(IF(Report!$D$4='!'!$HE$4,VLOOKUP(A359,Reference!$B$25:$H$390,7,FALSE),VLOOKUP(A359,Monitoring!$B$25:$H$390,7,FALSE)),""))</f>
        <v/>
      </c>
      <c r="P359" s="51"/>
      <c r="Q359" s="151" t="str">
        <f>IF(B359='!'!$GJ$15,'!'!$GJ$15,$Q$12)</f>
        <v>N</v>
      </c>
      <c r="S359" s="4" t="str">
        <f>IFERROR(ABS(T359),'!'!$GJ$15)</f>
        <v>N</v>
      </c>
      <c r="T359" s="84" t="str">
        <f>IFERROR(+G359-D359,'!'!$GJ$15)</f>
        <v>N</v>
      </c>
      <c r="U359" s="64" t="str">
        <f t="shared" si="11"/>
        <v>N</v>
      </c>
      <c r="W359" s="153" t="str">
        <f>IFERROR(I$10*I359,'!'!$GJ$15)</f>
        <v>N</v>
      </c>
      <c r="X359" s="153" t="str">
        <f>IFERROR(K$10*K359,'!'!$GJ$15)</f>
        <v>N</v>
      </c>
      <c r="Y359" s="153" t="str">
        <f>IFERROR(M$10*M359,'!'!$GJ$15)</f>
        <v>N</v>
      </c>
      <c r="Z359" s="153" t="str">
        <f>IFERROR(O$10*O360,'!'!$GJ$15)</f>
        <v>N</v>
      </c>
    </row>
    <row r="360" spans="1:26" x14ac:dyDescent="0.35">
      <c r="A360" s="4">
        <f t="shared" si="10"/>
        <v>336</v>
      </c>
      <c r="B360" s="286" t="str">
        <f>IFERROR(IF(Report!$D$4='!'!$HE$4,VLOOKUP(A360,Reference!$B$25:$H$390,2,FALSE),VLOOKUP(A360,Monitoring!$B$25:$H$390,2,FALSE)),'!'!$GJ$15)</f>
        <v>N</v>
      </c>
      <c r="C360" s="58" t="str">
        <f>Reference!A360</f>
        <v/>
      </c>
      <c r="D360" s="287" t="str">
        <f>IFERROR(IF(Report!$D$4='!'!$HE$4,VLOOKUP(A360,Reference!$B$25:$H$390,3,FALSE),VLOOKUP(A360,Monitoring!$B$25:$H$390,3,FALSE)),'!'!$GJ$15)</f>
        <v>N</v>
      </c>
      <c r="E360" s="285"/>
      <c r="F360" s="254"/>
      <c r="G360" s="151" t="str">
        <f>IF(D360='!'!$GJ$15,'!'!$GJ$15,(SUM(W360,X360,Y360,Z359,Q360)))</f>
        <v>N</v>
      </c>
      <c r="H360" s="51"/>
      <c r="I360" s="299" t="str">
        <f>IF($I$12="","",IFERROR(IF(Report!$D$4='!'!$HE$4,VLOOKUP(A360,Reference!$B$25:$H$390,4,FALSE),VLOOKUP(A360,Monitoring!$B$25:$H$390,4,FALSE)),""))</f>
        <v/>
      </c>
      <c r="J360" s="256"/>
      <c r="K360" s="299" t="str">
        <f>IF($K$12="","",IFERROR(IF(Report!$D$4='!'!$HE$4,VLOOKUP(A360,Reference!$B$25:$H$390,5,FALSE),VLOOKUP(A360,Monitoring!$B$25:$H$390,5,FALSE)),""))</f>
        <v/>
      </c>
      <c r="L360" s="256"/>
      <c r="M360" s="299" t="str">
        <f>IF($M$12="","",IFERROR(IF(Report!$D$4='!'!$HE$4,VLOOKUP(A360,Reference!$B$25:$H$390,6,FALSE),VLOOKUP(A360,Monitoring!$B$25:$H$390,6,FALSE)),""))</f>
        <v/>
      </c>
      <c r="N360" s="256"/>
      <c r="O360" s="299" t="str">
        <f>IF($O$12="","",IFERROR(IF(Report!$D$4='!'!$HE$4,VLOOKUP(A360,Reference!$B$25:$H$390,7,FALSE),VLOOKUP(A360,Monitoring!$B$25:$H$390,7,FALSE)),""))</f>
        <v/>
      </c>
      <c r="P360" s="51"/>
      <c r="Q360" s="151" t="str">
        <f>IF(B360='!'!$GJ$15,'!'!$GJ$15,$Q$12)</f>
        <v>N</v>
      </c>
      <c r="S360" s="4" t="str">
        <f>IFERROR(ABS(T360),'!'!$GJ$15)</f>
        <v>N</v>
      </c>
      <c r="T360" s="84" t="str">
        <f>IFERROR(+G360-D360,'!'!$GJ$15)</f>
        <v>N</v>
      </c>
      <c r="U360" s="64" t="str">
        <f t="shared" si="11"/>
        <v>N</v>
      </c>
      <c r="W360" s="153" t="str">
        <f>IFERROR(I$10*I360,'!'!$GJ$15)</f>
        <v>N</v>
      </c>
      <c r="X360" s="153" t="str">
        <f>IFERROR(K$10*K360,'!'!$GJ$15)</f>
        <v>N</v>
      </c>
      <c r="Y360" s="153" t="str">
        <f>IFERROR(M$10*M360,'!'!$GJ$15)</f>
        <v>N</v>
      </c>
      <c r="Z360" s="153" t="str">
        <f>IFERROR(O$10*O361,'!'!$GJ$15)</f>
        <v>N</v>
      </c>
    </row>
    <row r="361" spans="1:26" x14ac:dyDescent="0.35">
      <c r="A361" s="4">
        <f t="shared" si="10"/>
        <v>337</v>
      </c>
      <c r="B361" s="286" t="str">
        <f>IFERROR(IF(Report!$D$4='!'!$HE$4,VLOOKUP(A361,Reference!$B$25:$H$390,2,FALSE),VLOOKUP(A361,Monitoring!$B$25:$H$390,2,FALSE)),'!'!$GJ$15)</f>
        <v>N</v>
      </c>
      <c r="C361" s="58" t="str">
        <f>Reference!A361</f>
        <v/>
      </c>
      <c r="D361" s="287" t="str">
        <f>IFERROR(IF(Report!$D$4='!'!$HE$4,VLOOKUP(A361,Reference!$B$25:$H$390,3,FALSE),VLOOKUP(A361,Monitoring!$B$25:$H$390,3,FALSE)),'!'!$GJ$15)</f>
        <v>N</v>
      </c>
      <c r="E361" s="285"/>
      <c r="F361" s="254"/>
      <c r="G361" s="151" t="str">
        <f>IF(D361='!'!$GJ$15,'!'!$GJ$15,(SUM(W361,X361,Y361,Z360,Q361)))</f>
        <v>N</v>
      </c>
      <c r="H361" s="51"/>
      <c r="I361" s="299" t="str">
        <f>IF($I$12="","",IFERROR(IF(Report!$D$4='!'!$HE$4,VLOOKUP(A361,Reference!$B$25:$H$390,4,FALSE),VLOOKUP(A361,Monitoring!$B$25:$H$390,4,FALSE)),""))</f>
        <v/>
      </c>
      <c r="J361" s="256"/>
      <c r="K361" s="299" t="str">
        <f>IF($K$12="","",IFERROR(IF(Report!$D$4='!'!$HE$4,VLOOKUP(A361,Reference!$B$25:$H$390,5,FALSE),VLOOKUP(A361,Monitoring!$B$25:$H$390,5,FALSE)),""))</f>
        <v/>
      </c>
      <c r="L361" s="256"/>
      <c r="M361" s="299" t="str">
        <f>IF($M$12="","",IFERROR(IF(Report!$D$4='!'!$HE$4,VLOOKUP(A361,Reference!$B$25:$H$390,6,FALSE),VLOOKUP(A361,Monitoring!$B$25:$H$390,6,FALSE)),""))</f>
        <v/>
      </c>
      <c r="N361" s="256"/>
      <c r="O361" s="299" t="str">
        <f>IF($O$12="","",IFERROR(IF(Report!$D$4='!'!$HE$4,VLOOKUP(A361,Reference!$B$25:$H$390,7,FALSE),VLOOKUP(A361,Monitoring!$B$25:$H$390,7,FALSE)),""))</f>
        <v/>
      </c>
      <c r="P361" s="51"/>
      <c r="Q361" s="151" t="str">
        <f>IF(B361='!'!$GJ$15,'!'!$GJ$15,$Q$12)</f>
        <v>N</v>
      </c>
      <c r="S361" s="4" t="str">
        <f>IFERROR(ABS(T361),'!'!$GJ$15)</f>
        <v>N</v>
      </c>
      <c r="T361" s="84" t="str">
        <f>IFERROR(+G361-D361,'!'!$GJ$15)</f>
        <v>N</v>
      </c>
      <c r="U361" s="64" t="str">
        <f t="shared" si="11"/>
        <v>N</v>
      </c>
      <c r="W361" s="153" t="str">
        <f>IFERROR(I$10*I361,'!'!$GJ$15)</f>
        <v>N</v>
      </c>
      <c r="X361" s="153" t="str">
        <f>IFERROR(K$10*K361,'!'!$GJ$15)</f>
        <v>N</v>
      </c>
      <c r="Y361" s="153" t="str">
        <f>IFERROR(M$10*M361,'!'!$GJ$15)</f>
        <v>N</v>
      </c>
      <c r="Z361" s="153" t="str">
        <f>IFERROR(O$10*O362,'!'!$GJ$15)</f>
        <v>N</v>
      </c>
    </row>
    <row r="362" spans="1:26" x14ac:dyDescent="0.35">
      <c r="A362" s="4">
        <f t="shared" si="10"/>
        <v>338</v>
      </c>
      <c r="B362" s="286" t="str">
        <f>IFERROR(IF(Report!$D$4='!'!$HE$4,VLOOKUP(A362,Reference!$B$25:$H$390,2,FALSE),VLOOKUP(A362,Monitoring!$B$25:$H$390,2,FALSE)),'!'!$GJ$15)</f>
        <v>N</v>
      </c>
      <c r="C362" s="58" t="str">
        <f>Reference!A362</f>
        <v/>
      </c>
      <c r="D362" s="287" t="str">
        <f>IFERROR(IF(Report!$D$4='!'!$HE$4,VLOOKUP(A362,Reference!$B$25:$H$390,3,FALSE),VLOOKUP(A362,Monitoring!$B$25:$H$390,3,FALSE)),'!'!$GJ$15)</f>
        <v>N</v>
      </c>
      <c r="E362" s="285"/>
      <c r="F362" s="254"/>
      <c r="G362" s="151" t="str">
        <f>IF(D362='!'!$GJ$15,'!'!$GJ$15,(SUM(W362,X362,Y362,Z361,Q362)))</f>
        <v>N</v>
      </c>
      <c r="H362" s="51"/>
      <c r="I362" s="299" t="str">
        <f>IF($I$12="","",IFERROR(IF(Report!$D$4='!'!$HE$4,VLOOKUP(A362,Reference!$B$25:$H$390,4,FALSE),VLOOKUP(A362,Monitoring!$B$25:$H$390,4,FALSE)),""))</f>
        <v/>
      </c>
      <c r="J362" s="256"/>
      <c r="K362" s="299" t="str">
        <f>IF($K$12="","",IFERROR(IF(Report!$D$4='!'!$HE$4,VLOOKUP(A362,Reference!$B$25:$H$390,5,FALSE),VLOOKUP(A362,Monitoring!$B$25:$H$390,5,FALSE)),""))</f>
        <v/>
      </c>
      <c r="L362" s="256"/>
      <c r="M362" s="299" t="str">
        <f>IF($M$12="","",IFERROR(IF(Report!$D$4='!'!$HE$4,VLOOKUP(A362,Reference!$B$25:$H$390,6,FALSE),VLOOKUP(A362,Monitoring!$B$25:$H$390,6,FALSE)),""))</f>
        <v/>
      </c>
      <c r="N362" s="256"/>
      <c r="O362" s="299" t="str">
        <f>IF($O$12="","",IFERROR(IF(Report!$D$4='!'!$HE$4,VLOOKUP(A362,Reference!$B$25:$H$390,7,FALSE),VLOOKUP(A362,Monitoring!$B$25:$H$390,7,FALSE)),""))</f>
        <v/>
      </c>
      <c r="P362" s="51"/>
      <c r="Q362" s="151" t="str">
        <f>IF(B362='!'!$GJ$15,'!'!$GJ$15,$Q$12)</f>
        <v>N</v>
      </c>
      <c r="S362" s="4" t="str">
        <f>IFERROR(ABS(T362),'!'!$GJ$15)</f>
        <v>N</v>
      </c>
      <c r="T362" s="84" t="str">
        <f>IFERROR(+G362-D362,'!'!$GJ$15)</f>
        <v>N</v>
      </c>
      <c r="U362" s="64" t="str">
        <f t="shared" si="11"/>
        <v>N</v>
      </c>
      <c r="W362" s="153" t="str">
        <f>IFERROR(I$10*I362,'!'!$GJ$15)</f>
        <v>N</v>
      </c>
      <c r="X362" s="153" t="str">
        <f>IFERROR(K$10*K362,'!'!$GJ$15)</f>
        <v>N</v>
      </c>
      <c r="Y362" s="153" t="str">
        <f>IFERROR(M$10*M362,'!'!$GJ$15)</f>
        <v>N</v>
      </c>
      <c r="Z362" s="153" t="str">
        <f>IFERROR(O$10*O363,'!'!$GJ$15)</f>
        <v>N</v>
      </c>
    </row>
    <row r="363" spans="1:26" x14ac:dyDescent="0.35">
      <c r="A363" s="4">
        <f t="shared" si="10"/>
        <v>339</v>
      </c>
      <c r="B363" s="286" t="str">
        <f>IFERROR(IF(Report!$D$4='!'!$HE$4,VLOOKUP(A363,Reference!$B$25:$H$390,2,FALSE),VLOOKUP(A363,Monitoring!$B$25:$H$390,2,FALSE)),'!'!$GJ$15)</f>
        <v>N</v>
      </c>
      <c r="C363" s="58" t="str">
        <f>Reference!A363</f>
        <v/>
      </c>
      <c r="D363" s="287" t="str">
        <f>IFERROR(IF(Report!$D$4='!'!$HE$4,VLOOKUP(A363,Reference!$B$25:$H$390,3,FALSE),VLOOKUP(A363,Monitoring!$B$25:$H$390,3,FALSE)),'!'!$GJ$15)</f>
        <v>N</v>
      </c>
      <c r="E363" s="285"/>
      <c r="F363" s="254"/>
      <c r="G363" s="151" t="str">
        <f>IF(D363='!'!$GJ$15,'!'!$GJ$15,(SUM(W363,X363,Y363,Z362,Q363)))</f>
        <v>N</v>
      </c>
      <c r="H363" s="51"/>
      <c r="I363" s="299" t="str">
        <f>IF($I$12="","",IFERROR(IF(Report!$D$4='!'!$HE$4,VLOOKUP(A363,Reference!$B$25:$H$390,4,FALSE),VLOOKUP(A363,Monitoring!$B$25:$H$390,4,FALSE)),""))</f>
        <v/>
      </c>
      <c r="J363" s="256"/>
      <c r="K363" s="299" t="str">
        <f>IF($K$12="","",IFERROR(IF(Report!$D$4='!'!$HE$4,VLOOKUP(A363,Reference!$B$25:$H$390,5,FALSE),VLOOKUP(A363,Monitoring!$B$25:$H$390,5,FALSE)),""))</f>
        <v/>
      </c>
      <c r="L363" s="256"/>
      <c r="M363" s="299" t="str">
        <f>IF($M$12="","",IFERROR(IF(Report!$D$4='!'!$HE$4,VLOOKUP(A363,Reference!$B$25:$H$390,6,FALSE),VLOOKUP(A363,Monitoring!$B$25:$H$390,6,FALSE)),""))</f>
        <v/>
      </c>
      <c r="N363" s="256"/>
      <c r="O363" s="299" t="str">
        <f>IF($O$12="","",IFERROR(IF(Report!$D$4='!'!$HE$4,VLOOKUP(A363,Reference!$B$25:$H$390,7,FALSE),VLOOKUP(A363,Monitoring!$B$25:$H$390,7,FALSE)),""))</f>
        <v/>
      </c>
      <c r="P363" s="51"/>
      <c r="Q363" s="151" t="str">
        <f>IF(B363='!'!$GJ$15,'!'!$GJ$15,$Q$12)</f>
        <v>N</v>
      </c>
      <c r="S363" s="4" t="str">
        <f>IFERROR(ABS(T363),'!'!$GJ$15)</f>
        <v>N</v>
      </c>
      <c r="T363" s="84" t="str">
        <f>IFERROR(+G363-D363,'!'!$GJ$15)</f>
        <v>N</v>
      </c>
      <c r="U363" s="64" t="str">
        <f t="shared" si="11"/>
        <v>N</v>
      </c>
      <c r="W363" s="153" t="str">
        <f>IFERROR(I$10*I363,'!'!$GJ$15)</f>
        <v>N</v>
      </c>
      <c r="X363" s="153" t="str">
        <f>IFERROR(K$10*K363,'!'!$GJ$15)</f>
        <v>N</v>
      </c>
      <c r="Y363" s="153" t="str">
        <f>IFERROR(M$10*M363,'!'!$GJ$15)</f>
        <v>N</v>
      </c>
      <c r="Z363" s="153" t="str">
        <f>IFERROR(O$10*O364,'!'!$GJ$15)</f>
        <v>N</v>
      </c>
    </row>
    <row r="364" spans="1:26" x14ac:dyDescent="0.35">
      <c r="A364" s="4">
        <f t="shared" si="10"/>
        <v>340</v>
      </c>
      <c r="B364" s="286" t="str">
        <f>IFERROR(IF(Report!$D$4='!'!$HE$4,VLOOKUP(A364,Reference!$B$25:$H$390,2,FALSE),VLOOKUP(A364,Monitoring!$B$25:$H$390,2,FALSE)),'!'!$GJ$15)</f>
        <v>N</v>
      </c>
      <c r="C364" s="58" t="str">
        <f>Reference!A364</f>
        <v/>
      </c>
      <c r="D364" s="287" t="str">
        <f>IFERROR(IF(Report!$D$4='!'!$HE$4,VLOOKUP(A364,Reference!$B$25:$H$390,3,FALSE),VLOOKUP(A364,Monitoring!$B$25:$H$390,3,FALSE)),'!'!$GJ$15)</f>
        <v>N</v>
      </c>
      <c r="E364" s="285"/>
      <c r="F364" s="254"/>
      <c r="G364" s="151" t="str">
        <f>IF(D364='!'!$GJ$15,'!'!$GJ$15,(SUM(W364,X364,Y364,Z363,Q364)))</f>
        <v>N</v>
      </c>
      <c r="H364" s="51"/>
      <c r="I364" s="299" t="str">
        <f>IF($I$12="","",IFERROR(IF(Report!$D$4='!'!$HE$4,VLOOKUP(A364,Reference!$B$25:$H$390,4,FALSE),VLOOKUP(A364,Monitoring!$B$25:$H$390,4,FALSE)),""))</f>
        <v/>
      </c>
      <c r="J364" s="256"/>
      <c r="K364" s="299" t="str">
        <f>IF($K$12="","",IFERROR(IF(Report!$D$4='!'!$HE$4,VLOOKUP(A364,Reference!$B$25:$H$390,5,FALSE),VLOOKUP(A364,Monitoring!$B$25:$H$390,5,FALSE)),""))</f>
        <v/>
      </c>
      <c r="L364" s="256"/>
      <c r="M364" s="299" t="str">
        <f>IF($M$12="","",IFERROR(IF(Report!$D$4='!'!$HE$4,VLOOKUP(A364,Reference!$B$25:$H$390,6,FALSE),VLOOKUP(A364,Monitoring!$B$25:$H$390,6,FALSE)),""))</f>
        <v/>
      </c>
      <c r="N364" s="256"/>
      <c r="O364" s="299" t="str">
        <f>IF($O$12="","",IFERROR(IF(Report!$D$4='!'!$HE$4,VLOOKUP(A364,Reference!$B$25:$H$390,7,FALSE),VLOOKUP(A364,Monitoring!$B$25:$H$390,7,FALSE)),""))</f>
        <v/>
      </c>
      <c r="P364" s="51"/>
      <c r="Q364" s="151" t="str">
        <f>IF(B364='!'!$GJ$15,'!'!$GJ$15,$Q$12)</f>
        <v>N</v>
      </c>
      <c r="S364" s="4" t="str">
        <f>IFERROR(ABS(T364),'!'!$GJ$15)</f>
        <v>N</v>
      </c>
      <c r="T364" s="84" t="str">
        <f>IFERROR(+G364-D364,'!'!$GJ$15)</f>
        <v>N</v>
      </c>
      <c r="U364" s="64" t="str">
        <f t="shared" si="11"/>
        <v>N</v>
      </c>
      <c r="W364" s="153" t="str">
        <f>IFERROR(I$10*I364,'!'!$GJ$15)</f>
        <v>N</v>
      </c>
      <c r="X364" s="153" t="str">
        <f>IFERROR(K$10*K364,'!'!$GJ$15)</f>
        <v>N</v>
      </c>
      <c r="Y364" s="153" t="str">
        <f>IFERROR(M$10*M364,'!'!$GJ$15)</f>
        <v>N</v>
      </c>
      <c r="Z364" s="153" t="str">
        <f>IFERROR(O$10*O365,'!'!$GJ$15)</f>
        <v>N</v>
      </c>
    </row>
    <row r="365" spans="1:26" x14ac:dyDescent="0.35">
      <c r="A365" s="4">
        <f t="shared" si="10"/>
        <v>341</v>
      </c>
      <c r="B365" s="286" t="str">
        <f>IFERROR(IF(Report!$D$4='!'!$HE$4,VLOOKUP(A365,Reference!$B$25:$H$390,2,FALSE),VLOOKUP(A365,Monitoring!$B$25:$H$390,2,FALSE)),'!'!$GJ$15)</f>
        <v>N</v>
      </c>
      <c r="C365" s="58" t="str">
        <f>Reference!A365</f>
        <v/>
      </c>
      <c r="D365" s="287" t="str">
        <f>IFERROR(IF(Report!$D$4='!'!$HE$4,VLOOKUP(A365,Reference!$B$25:$H$390,3,FALSE),VLOOKUP(A365,Monitoring!$B$25:$H$390,3,FALSE)),'!'!$GJ$15)</f>
        <v>N</v>
      </c>
      <c r="E365" s="285"/>
      <c r="F365" s="254"/>
      <c r="G365" s="151" t="str">
        <f>IF(D365='!'!$GJ$15,'!'!$GJ$15,(SUM(W365,X365,Y365,Z364,Q365)))</f>
        <v>N</v>
      </c>
      <c r="H365" s="51"/>
      <c r="I365" s="299" t="str">
        <f>IF($I$12="","",IFERROR(IF(Report!$D$4='!'!$HE$4,VLOOKUP(A365,Reference!$B$25:$H$390,4,FALSE),VLOOKUP(A365,Monitoring!$B$25:$H$390,4,FALSE)),""))</f>
        <v/>
      </c>
      <c r="J365" s="256"/>
      <c r="K365" s="299" t="str">
        <f>IF($K$12="","",IFERROR(IF(Report!$D$4='!'!$HE$4,VLOOKUP(A365,Reference!$B$25:$H$390,5,FALSE),VLOOKUP(A365,Monitoring!$B$25:$H$390,5,FALSE)),""))</f>
        <v/>
      </c>
      <c r="L365" s="256"/>
      <c r="M365" s="299" t="str">
        <f>IF($M$12="","",IFERROR(IF(Report!$D$4='!'!$HE$4,VLOOKUP(A365,Reference!$B$25:$H$390,6,FALSE),VLOOKUP(A365,Monitoring!$B$25:$H$390,6,FALSE)),""))</f>
        <v/>
      </c>
      <c r="N365" s="256"/>
      <c r="O365" s="299" t="str">
        <f>IF($O$12="","",IFERROR(IF(Report!$D$4='!'!$HE$4,VLOOKUP(A365,Reference!$B$25:$H$390,7,FALSE),VLOOKUP(A365,Monitoring!$B$25:$H$390,7,FALSE)),""))</f>
        <v/>
      </c>
      <c r="P365" s="51"/>
      <c r="Q365" s="151" t="str">
        <f>IF(B365='!'!$GJ$15,'!'!$GJ$15,$Q$12)</f>
        <v>N</v>
      </c>
      <c r="S365" s="4" t="str">
        <f>IFERROR(ABS(T365),'!'!$GJ$15)</f>
        <v>N</v>
      </c>
      <c r="T365" s="84" t="str">
        <f>IFERROR(+G365-D365,'!'!$GJ$15)</f>
        <v>N</v>
      </c>
      <c r="U365" s="64" t="str">
        <f t="shared" si="11"/>
        <v>N</v>
      </c>
      <c r="W365" s="153" t="str">
        <f>IFERROR(I$10*I365,'!'!$GJ$15)</f>
        <v>N</v>
      </c>
      <c r="X365" s="153" t="str">
        <f>IFERROR(K$10*K365,'!'!$GJ$15)</f>
        <v>N</v>
      </c>
      <c r="Y365" s="153" t="str">
        <f>IFERROR(M$10*M365,'!'!$GJ$15)</f>
        <v>N</v>
      </c>
      <c r="Z365" s="153" t="str">
        <f>IFERROR(O$10*O366,'!'!$GJ$15)</f>
        <v>N</v>
      </c>
    </row>
    <row r="366" spans="1:26" x14ac:dyDescent="0.35">
      <c r="A366" s="4">
        <f t="shared" si="10"/>
        <v>342</v>
      </c>
      <c r="B366" s="286" t="str">
        <f>IFERROR(IF(Report!$D$4='!'!$HE$4,VLOOKUP(A366,Reference!$B$25:$H$390,2,FALSE),VLOOKUP(A366,Monitoring!$B$25:$H$390,2,FALSE)),'!'!$GJ$15)</f>
        <v>N</v>
      </c>
      <c r="C366" s="58" t="str">
        <f>Reference!A366</f>
        <v/>
      </c>
      <c r="D366" s="287" t="str">
        <f>IFERROR(IF(Report!$D$4='!'!$HE$4,VLOOKUP(A366,Reference!$B$25:$H$390,3,FALSE),VLOOKUP(A366,Monitoring!$B$25:$H$390,3,FALSE)),'!'!$GJ$15)</f>
        <v>N</v>
      </c>
      <c r="E366" s="285"/>
      <c r="F366" s="254"/>
      <c r="G366" s="151" t="str">
        <f>IF(D366='!'!$GJ$15,'!'!$GJ$15,(SUM(W366,X366,Y366,Z365,Q366)))</f>
        <v>N</v>
      </c>
      <c r="H366" s="51"/>
      <c r="I366" s="299" t="str">
        <f>IF($I$12="","",IFERROR(IF(Report!$D$4='!'!$HE$4,VLOOKUP(A366,Reference!$B$25:$H$390,4,FALSE),VLOOKUP(A366,Monitoring!$B$25:$H$390,4,FALSE)),""))</f>
        <v/>
      </c>
      <c r="J366" s="256"/>
      <c r="K366" s="299" t="str">
        <f>IF($K$12="","",IFERROR(IF(Report!$D$4='!'!$HE$4,VLOOKUP(A366,Reference!$B$25:$H$390,5,FALSE),VLOOKUP(A366,Monitoring!$B$25:$H$390,5,FALSE)),""))</f>
        <v/>
      </c>
      <c r="L366" s="256"/>
      <c r="M366" s="299" t="str">
        <f>IF($M$12="","",IFERROR(IF(Report!$D$4='!'!$HE$4,VLOOKUP(A366,Reference!$B$25:$H$390,6,FALSE),VLOOKUP(A366,Monitoring!$B$25:$H$390,6,FALSE)),""))</f>
        <v/>
      </c>
      <c r="N366" s="256"/>
      <c r="O366" s="299" t="str">
        <f>IF($O$12="","",IFERROR(IF(Report!$D$4='!'!$HE$4,VLOOKUP(A366,Reference!$B$25:$H$390,7,FALSE),VLOOKUP(A366,Monitoring!$B$25:$H$390,7,FALSE)),""))</f>
        <v/>
      </c>
      <c r="P366" s="51"/>
      <c r="Q366" s="151" t="str">
        <f>IF(B366='!'!$GJ$15,'!'!$GJ$15,$Q$12)</f>
        <v>N</v>
      </c>
      <c r="S366" s="4" t="str">
        <f>IFERROR(ABS(T366),'!'!$GJ$15)</f>
        <v>N</v>
      </c>
      <c r="T366" s="84" t="str">
        <f>IFERROR(+G366-D366,'!'!$GJ$15)</f>
        <v>N</v>
      </c>
      <c r="U366" s="64" t="str">
        <f t="shared" si="11"/>
        <v>N</v>
      </c>
      <c r="W366" s="153" t="str">
        <f>IFERROR(I$10*I366,'!'!$GJ$15)</f>
        <v>N</v>
      </c>
      <c r="X366" s="153" t="str">
        <f>IFERROR(K$10*K366,'!'!$GJ$15)</f>
        <v>N</v>
      </c>
      <c r="Y366" s="153" t="str">
        <f>IFERROR(M$10*M366,'!'!$GJ$15)</f>
        <v>N</v>
      </c>
      <c r="Z366" s="153" t="str">
        <f>IFERROR(O$10*O367,'!'!$GJ$15)</f>
        <v>N</v>
      </c>
    </row>
    <row r="367" spans="1:26" x14ac:dyDescent="0.35">
      <c r="A367" s="4">
        <f t="shared" si="10"/>
        <v>343</v>
      </c>
      <c r="B367" s="286" t="str">
        <f>IFERROR(IF(Report!$D$4='!'!$HE$4,VLOOKUP(A367,Reference!$B$25:$H$390,2,FALSE),VLOOKUP(A367,Monitoring!$B$25:$H$390,2,FALSE)),'!'!$GJ$15)</f>
        <v>N</v>
      </c>
      <c r="C367" s="58" t="str">
        <f>Reference!A367</f>
        <v/>
      </c>
      <c r="D367" s="287" t="str">
        <f>IFERROR(IF(Report!$D$4='!'!$HE$4,VLOOKUP(A367,Reference!$B$25:$H$390,3,FALSE),VLOOKUP(A367,Monitoring!$B$25:$H$390,3,FALSE)),'!'!$GJ$15)</f>
        <v>N</v>
      </c>
      <c r="E367" s="285"/>
      <c r="F367" s="254"/>
      <c r="G367" s="151" t="str">
        <f>IF(D367='!'!$GJ$15,'!'!$GJ$15,(SUM(W367,X367,Y367,Z366,Q367)))</f>
        <v>N</v>
      </c>
      <c r="H367" s="51"/>
      <c r="I367" s="299" t="str">
        <f>IF($I$12="","",IFERROR(IF(Report!$D$4='!'!$HE$4,VLOOKUP(A367,Reference!$B$25:$H$390,4,FALSE),VLOOKUP(A367,Monitoring!$B$25:$H$390,4,FALSE)),""))</f>
        <v/>
      </c>
      <c r="J367" s="256"/>
      <c r="K367" s="299" t="str">
        <f>IF($K$12="","",IFERROR(IF(Report!$D$4='!'!$HE$4,VLOOKUP(A367,Reference!$B$25:$H$390,5,FALSE),VLOOKUP(A367,Monitoring!$B$25:$H$390,5,FALSE)),""))</f>
        <v/>
      </c>
      <c r="L367" s="256"/>
      <c r="M367" s="299" t="str">
        <f>IF($M$12="","",IFERROR(IF(Report!$D$4='!'!$HE$4,VLOOKUP(A367,Reference!$B$25:$H$390,6,FALSE),VLOOKUP(A367,Monitoring!$B$25:$H$390,6,FALSE)),""))</f>
        <v/>
      </c>
      <c r="N367" s="256"/>
      <c r="O367" s="299" t="str">
        <f>IF($O$12="","",IFERROR(IF(Report!$D$4='!'!$HE$4,VLOOKUP(A367,Reference!$B$25:$H$390,7,FALSE),VLOOKUP(A367,Monitoring!$B$25:$H$390,7,FALSE)),""))</f>
        <v/>
      </c>
      <c r="P367" s="51"/>
      <c r="Q367" s="151" t="str">
        <f>IF(B367='!'!$GJ$15,'!'!$GJ$15,$Q$12)</f>
        <v>N</v>
      </c>
      <c r="S367" s="4" t="str">
        <f>IFERROR(ABS(T367),'!'!$GJ$15)</f>
        <v>N</v>
      </c>
      <c r="T367" s="84" t="str">
        <f>IFERROR(+G367-D367,'!'!$GJ$15)</f>
        <v>N</v>
      </c>
      <c r="U367" s="64" t="str">
        <f t="shared" si="11"/>
        <v>N</v>
      </c>
      <c r="W367" s="153" t="str">
        <f>IFERROR(I$10*I367,'!'!$GJ$15)</f>
        <v>N</v>
      </c>
      <c r="X367" s="153" t="str">
        <f>IFERROR(K$10*K367,'!'!$GJ$15)</f>
        <v>N</v>
      </c>
      <c r="Y367" s="153" t="str">
        <f>IFERROR(M$10*M367,'!'!$GJ$15)</f>
        <v>N</v>
      </c>
      <c r="Z367" s="153" t="str">
        <f>IFERROR(O$10*O368,'!'!$GJ$15)</f>
        <v>N</v>
      </c>
    </row>
    <row r="368" spans="1:26" x14ac:dyDescent="0.35">
      <c r="A368" s="4">
        <f t="shared" si="10"/>
        <v>344</v>
      </c>
      <c r="B368" s="286" t="str">
        <f>IFERROR(IF(Report!$D$4='!'!$HE$4,VLOOKUP(A368,Reference!$B$25:$H$390,2,FALSE),VLOOKUP(A368,Monitoring!$B$25:$H$390,2,FALSE)),'!'!$GJ$15)</f>
        <v>N</v>
      </c>
      <c r="C368" s="58" t="str">
        <f>Reference!A368</f>
        <v/>
      </c>
      <c r="D368" s="287" t="str">
        <f>IFERROR(IF(Report!$D$4='!'!$HE$4,VLOOKUP(A368,Reference!$B$25:$H$390,3,FALSE),VLOOKUP(A368,Monitoring!$B$25:$H$390,3,FALSE)),'!'!$GJ$15)</f>
        <v>N</v>
      </c>
      <c r="E368" s="285"/>
      <c r="F368" s="254"/>
      <c r="G368" s="151" t="str">
        <f>IF(D368='!'!$GJ$15,'!'!$GJ$15,(SUM(W368,X368,Y368,Z367,Q368)))</f>
        <v>N</v>
      </c>
      <c r="H368" s="51"/>
      <c r="I368" s="299" t="str">
        <f>IF($I$12="","",IFERROR(IF(Report!$D$4='!'!$HE$4,VLOOKUP(A368,Reference!$B$25:$H$390,4,FALSE),VLOOKUP(A368,Monitoring!$B$25:$H$390,4,FALSE)),""))</f>
        <v/>
      </c>
      <c r="J368" s="256"/>
      <c r="K368" s="299" t="str">
        <f>IF($K$12="","",IFERROR(IF(Report!$D$4='!'!$HE$4,VLOOKUP(A368,Reference!$B$25:$H$390,5,FALSE),VLOOKUP(A368,Monitoring!$B$25:$H$390,5,FALSE)),""))</f>
        <v/>
      </c>
      <c r="L368" s="256"/>
      <c r="M368" s="299" t="str">
        <f>IF($M$12="","",IFERROR(IF(Report!$D$4='!'!$HE$4,VLOOKUP(A368,Reference!$B$25:$H$390,6,FALSE),VLOOKUP(A368,Monitoring!$B$25:$H$390,6,FALSE)),""))</f>
        <v/>
      </c>
      <c r="N368" s="256"/>
      <c r="O368" s="299" t="str">
        <f>IF($O$12="","",IFERROR(IF(Report!$D$4='!'!$HE$4,VLOOKUP(A368,Reference!$B$25:$H$390,7,FALSE),VLOOKUP(A368,Monitoring!$B$25:$H$390,7,FALSE)),""))</f>
        <v/>
      </c>
      <c r="P368" s="51"/>
      <c r="Q368" s="151" t="str">
        <f>IF(B368='!'!$GJ$15,'!'!$GJ$15,$Q$12)</f>
        <v>N</v>
      </c>
      <c r="S368" s="4" t="str">
        <f>IFERROR(ABS(T368),'!'!$GJ$15)</f>
        <v>N</v>
      </c>
      <c r="T368" s="84" t="str">
        <f>IFERROR(+G368-D368,'!'!$GJ$15)</f>
        <v>N</v>
      </c>
      <c r="U368" s="64" t="str">
        <f t="shared" si="11"/>
        <v>N</v>
      </c>
      <c r="W368" s="153" t="str">
        <f>IFERROR(I$10*I368,'!'!$GJ$15)</f>
        <v>N</v>
      </c>
      <c r="X368" s="153" t="str">
        <f>IFERROR(K$10*K368,'!'!$GJ$15)</f>
        <v>N</v>
      </c>
      <c r="Y368" s="153" t="str">
        <f>IFERROR(M$10*M368,'!'!$GJ$15)</f>
        <v>N</v>
      </c>
      <c r="Z368" s="153" t="str">
        <f>IFERROR(O$10*O369,'!'!$GJ$15)</f>
        <v>N</v>
      </c>
    </row>
    <row r="369" spans="1:26" x14ac:dyDescent="0.35">
      <c r="A369" s="4">
        <f t="shared" si="10"/>
        <v>345</v>
      </c>
      <c r="B369" s="286" t="str">
        <f>IFERROR(IF(Report!$D$4='!'!$HE$4,VLOOKUP(A369,Reference!$B$25:$H$390,2,FALSE),VLOOKUP(A369,Monitoring!$B$25:$H$390,2,FALSE)),'!'!$GJ$15)</f>
        <v>N</v>
      </c>
      <c r="C369" s="58" t="str">
        <f>Reference!A369</f>
        <v/>
      </c>
      <c r="D369" s="287" t="str">
        <f>IFERROR(IF(Report!$D$4='!'!$HE$4,VLOOKUP(A369,Reference!$B$25:$H$390,3,FALSE),VLOOKUP(A369,Monitoring!$B$25:$H$390,3,FALSE)),'!'!$GJ$15)</f>
        <v>N</v>
      </c>
      <c r="E369" s="285"/>
      <c r="F369" s="254"/>
      <c r="G369" s="151" t="str">
        <f>IF(D369='!'!$GJ$15,'!'!$GJ$15,(SUM(W369,X369,Y369,Z368,Q369)))</f>
        <v>N</v>
      </c>
      <c r="H369" s="51"/>
      <c r="I369" s="299" t="str">
        <f>IF($I$12="","",IFERROR(IF(Report!$D$4='!'!$HE$4,VLOOKUP(A369,Reference!$B$25:$H$390,4,FALSE),VLOOKUP(A369,Monitoring!$B$25:$H$390,4,FALSE)),""))</f>
        <v/>
      </c>
      <c r="J369" s="256"/>
      <c r="K369" s="299" t="str">
        <f>IF($K$12="","",IFERROR(IF(Report!$D$4='!'!$HE$4,VLOOKUP(A369,Reference!$B$25:$H$390,5,FALSE),VLOOKUP(A369,Monitoring!$B$25:$H$390,5,FALSE)),""))</f>
        <v/>
      </c>
      <c r="L369" s="256"/>
      <c r="M369" s="299" t="str">
        <f>IF($M$12="","",IFERROR(IF(Report!$D$4='!'!$HE$4,VLOOKUP(A369,Reference!$B$25:$H$390,6,FALSE),VLOOKUP(A369,Monitoring!$B$25:$H$390,6,FALSE)),""))</f>
        <v/>
      </c>
      <c r="N369" s="256"/>
      <c r="O369" s="299" t="str">
        <f>IF($O$12="","",IFERROR(IF(Report!$D$4='!'!$HE$4,VLOOKUP(A369,Reference!$B$25:$H$390,7,FALSE),VLOOKUP(A369,Monitoring!$B$25:$H$390,7,FALSE)),""))</f>
        <v/>
      </c>
      <c r="P369" s="51"/>
      <c r="Q369" s="151" t="str">
        <f>IF(B369='!'!$GJ$15,'!'!$GJ$15,$Q$12)</f>
        <v>N</v>
      </c>
      <c r="S369" s="4" t="str">
        <f>IFERROR(ABS(T369),'!'!$GJ$15)</f>
        <v>N</v>
      </c>
      <c r="T369" s="84" t="str">
        <f>IFERROR(+G369-D369,'!'!$GJ$15)</f>
        <v>N</v>
      </c>
      <c r="U369" s="64" t="str">
        <f t="shared" si="11"/>
        <v>N</v>
      </c>
      <c r="W369" s="153" t="str">
        <f>IFERROR(I$10*I369,'!'!$GJ$15)</f>
        <v>N</v>
      </c>
      <c r="X369" s="153" t="str">
        <f>IFERROR(K$10*K369,'!'!$GJ$15)</f>
        <v>N</v>
      </c>
      <c r="Y369" s="153" t="str">
        <f>IFERROR(M$10*M369,'!'!$GJ$15)</f>
        <v>N</v>
      </c>
      <c r="Z369" s="153" t="str">
        <f>IFERROR(O$10*O370,'!'!$GJ$15)</f>
        <v>N</v>
      </c>
    </row>
    <row r="370" spans="1:26" x14ac:dyDescent="0.35">
      <c r="A370" s="4">
        <f t="shared" si="10"/>
        <v>346</v>
      </c>
      <c r="B370" s="286" t="str">
        <f>IFERROR(IF(Report!$D$4='!'!$HE$4,VLOOKUP(A370,Reference!$B$25:$H$390,2,FALSE),VLOOKUP(A370,Monitoring!$B$25:$H$390,2,FALSE)),'!'!$GJ$15)</f>
        <v>N</v>
      </c>
      <c r="C370" s="58" t="str">
        <f>Reference!A370</f>
        <v/>
      </c>
      <c r="D370" s="287" t="str">
        <f>IFERROR(IF(Report!$D$4='!'!$HE$4,VLOOKUP(A370,Reference!$B$25:$H$390,3,FALSE),VLOOKUP(A370,Monitoring!$B$25:$H$390,3,FALSE)),'!'!$GJ$15)</f>
        <v>N</v>
      </c>
      <c r="E370" s="285"/>
      <c r="F370" s="254"/>
      <c r="G370" s="151" t="str">
        <f>IF(D370='!'!$GJ$15,'!'!$GJ$15,(SUM(W370,X370,Y370,Z369,Q370)))</f>
        <v>N</v>
      </c>
      <c r="H370" s="51"/>
      <c r="I370" s="299" t="str">
        <f>IF($I$12="","",IFERROR(IF(Report!$D$4='!'!$HE$4,VLOOKUP(A370,Reference!$B$25:$H$390,4,FALSE),VLOOKUP(A370,Monitoring!$B$25:$H$390,4,FALSE)),""))</f>
        <v/>
      </c>
      <c r="J370" s="256"/>
      <c r="K370" s="299" t="str">
        <f>IF($K$12="","",IFERROR(IF(Report!$D$4='!'!$HE$4,VLOOKUP(A370,Reference!$B$25:$H$390,5,FALSE),VLOOKUP(A370,Monitoring!$B$25:$H$390,5,FALSE)),""))</f>
        <v/>
      </c>
      <c r="L370" s="256"/>
      <c r="M370" s="299" t="str">
        <f>IF($M$12="","",IFERROR(IF(Report!$D$4='!'!$HE$4,VLOOKUP(A370,Reference!$B$25:$H$390,6,FALSE),VLOOKUP(A370,Monitoring!$B$25:$H$390,6,FALSE)),""))</f>
        <v/>
      </c>
      <c r="N370" s="256"/>
      <c r="O370" s="299" t="str">
        <f>IF($O$12="","",IFERROR(IF(Report!$D$4='!'!$HE$4,VLOOKUP(A370,Reference!$B$25:$H$390,7,FALSE),VLOOKUP(A370,Monitoring!$B$25:$H$390,7,FALSE)),""))</f>
        <v/>
      </c>
      <c r="P370" s="51"/>
      <c r="Q370" s="151" t="str">
        <f>IF(B370='!'!$GJ$15,'!'!$GJ$15,$Q$12)</f>
        <v>N</v>
      </c>
      <c r="S370" s="4" t="str">
        <f>IFERROR(ABS(T370),'!'!$GJ$15)</f>
        <v>N</v>
      </c>
      <c r="T370" s="84" t="str">
        <f>IFERROR(+G370-D370,'!'!$GJ$15)</f>
        <v>N</v>
      </c>
      <c r="U370" s="64" t="str">
        <f t="shared" si="11"/>
        <v>N</v>
      </c>
      <c r="W370" s="153" t="str">
        <f>IFERROR(I$10*I370,'!'!$GJ$15)</f>
        <v>N</v>
      </c>
      <c r="X370" s="153" t="str">
        <f>IFERROR(K$10*K370,'!'!$GJ$15)</f>
        <v>N</v>
      </c>
      <c r="Y370" s="153" t="str">
        <f>IFERROR(M$10*M370,'!'!$GJ$15)</f>
        <v>N</v>
      </c>
      <c r="Z370" s="153" t="str">
        <f>IFERROR(O$10*O371,'!'!$GJ$15)</f>
        <v>N</v>
      </c>
    </row>
    <row r="371" spans="1:26" x14ac:dyDescent="0.35">
      <c r="A371" s="4">
        <f t="shared" si="10"/>
        <v>347</v>
      </c>
      <c r="B371" s="286" t="str">
        <f>IFERROR(IF(Report!$D$4='!'!$HE$4,VLOOKUP(A371,Reference!$B$25:$H$390,2,FALSE),VLOOKUP(A371,Monitoring!$B$25:$H$390,2,FALSE)),'!'!$GJ$15)</f>
        <v>N</v>
      </c>
      <c r="C371" s="58" t="str">
        <f>Reference!A371</f>
        <v/>
      </c>
      <c r="D371" s="287" t="str">
        <f>IFERROR(IF(Report!$D$4='!'!$HE$4,VLOOKUP(A371,Reference!$B$25:$H$390,3,FALSE),VLOOKUP(A371,Monitoring!$B$25:$H$390,3,FALSE)),'!'!$GJ$15)</f>
        <v>N</v>
      </c>
      <c r="E371" s="285"/>
      <c r="F371" s="254"/>
      <c r="G371" s="151" t="str">
        <f>IF(D371='!'!$GJ$15,'!'!$GJ$15,(SUM(W371,X371,Y371,Z370,Q371)))</f>
        <v>N</v>
      </c>
      <c r="H371" s="51"/>
      <c r="I371" s="299" t="str">
        <f>IF($I$12="","",IFERROR(IF(Report!$D$4='!'!$HE$4,VLOOKUP(A371,Reference!$B$25:$H$390,4,FALSE),VLOOKUP(A371,Monitoring!$B$25:$H$390,4,FALSE)),""))</f>
        <v/>
      </c>
      <c r="J371" s="256"/>
      <c r="K371" s="299" t="str">
        <f>IF($K$12="","",IFERROR(IF(Report!$D$4='!'!$HE$4,VLOOKUP(A371,Reference!$B$25:$H$390,5,FALSE),VLOOKUP(A371,Monitoring!$B$25:$H$390,5,FALSE)),""))</f>
        <v/>
      </c>
      <c r="L371" s="256"/>
      <c r="M371" s="299" t="str">
        <f>IF($M$12="","",IFERROR(IF(Report!$D$4='!'!$HE$4,VLOOKUP(A371,Reference!$B$25:$H$390,6,FALSE),VLOOKUP(A371,Monitoring!$B$25:$H$390,6,FALSE)),""))</f>
        <v/>
      </c>
      <c r="N371" s="256"/>
      <c r="O371" s="299" t="str">
        <f>IF($O$12="","",IFERROR(IF(Report!$D$4='!'!$HE$4,VLOOKUP(A371,Reference!$B$25:$H$390,7,FALSE),VLOOKUP(A371,Monitoring!$B$25:$H$390,7,FALSE)),""))</f>
        <v/>
      </c>
      <c r="P371" s="51"/>
      <c r="Q371" s="151" t="str">
        <f>IF(B371='!'!$GJ$15,'!'!$GJ$15,$Q$12)</f>
        <v>N</v>
      </c>
      <c r="S371" s="4" t="str">
        <f>IFERROR(ABS(T371),'!'!$GJ$15)</f>
        <v>N</v>
      </c>
      <c r="T371" s="84" t="str">
        <f>IFERROR(+G371-D371,'!'!$GJ$15)</f>
        <v>N</v>
      </c>
      <c r="U371" s="64" t="str">
        <f t="shared" si="11"/>
        <v>N</v>
      </c>
      <c r="W371" s="153" t="str">
        <f>IFERROR(I$10*I371,'!'!$GJ$15)</f>
        <v>N</v>
      </c>
      <c r="X371" s="153" t="str">
        <f>IFERROR(K$10*K371,'!'!$GJ$15)</f>
        <v>N</v>
      </c>
      <c r="Y371" s="153" t="str">
        <f>IFERROR(M$10*M371,'!'!$GJ$15)</f>
        <v>N</v>
      </c>
      <c r="Z371" s="153" t="str">
        <f>IFERROR(O$10*O372,'!'!$GJ$15)</f>
        <v>N</v>
      </c>
    </row>
    <row r="372" spans="1:26" x14ac:dyDescent="0.35">
      <c r="A372" s="4">
        <f t="shared" si="10"/>
        <v>348</v>
      </c>
      <c r="B372" s="286" t="str">
        <f>IFERROR(IF(Report!$D$4='!'!$HE$4,VLOOKUP(A372,Reference!$B$25:$H$390,2,FALSE),VLOOKUP(A372,Monitoring!$B$25:$H$390,2,FALSE)),'!'!$GJ$15)</f>
        <v>N</v>
      </c>
      <c r="C372" s="58" t="str">
        <f>Reference!A372</f>
        <v/>
      </c>
      <c r="D372" s="287" t="str">
        <f>IFERROR(IF(Report!$D$4='!'!$HE$4,VLOOKUP(A372,Reference!$B$25:$H$390,3,FALSE),VLOOKUP(A372,Monitoring!$B$25:$H$390,3,FALSE)),'!'!$GJ$15)</f>
        <v>N</v>
      </c>
      <c r="E372" s="285"/>
      <c r="F372" s="254"/>
      <c r="G372" s="151" t="str">
        <f>IF(D372='!'!$GJ$15,'!'!$GJ$15,(SUM(W372,X372,Y372,Z371,Q372)))</f>
        <v>N</v>
      </c>
      <c r="H372" s="51"/>
      <c r="I372" s="299" t="str">
        <f>IF($I$12="","",IFERROR(IF(Report!$D$4='!'!$HE$4,VLOOKUP(A372,Reference!$B$25:$H$390,4,FALSE),VLOOKUP(A372,Monitoring!$B$25:$H$390,4,FALSE)),""))</f>
        <v/>
      </c>
      <c r="J372" s="256"/>
      <c r="K372" s="299" t="str">
        <f>IF($K$12="","",IFERROR(IF(Report!$D$4='!'!$HE$4,VLOOKUP(A372,Reference!$B$25:$H$390,5,FALSE),VLOOKUP(A372,Monitoring!$B$25:$H$390,5,FALSE)),""))</f>
        <v/>
      </c>
      <c r="L372" s="256"/>
      <c r="M372" s="299" t="str">
        <f>IF($M$12="","",IFERROR(IF(Report!$D$4='!'!$HE$4,VLOOKUP(A372,Reference!$B$25:$H$390,6,FALSE),VLOOKUP(A372,Monitoring!$B$25:$H$390,6,FALSE)),""))</f>
        <v/>
      </c>
      <c r="N372" s="256"/>
      <c r="O372" s="299" t="str">
        <f>IF($O$12="","",IFERROR(IF(Report!$D$4='!'!$HE$4,VLOOKUP(A372,Reference!$B$25:$H$390,7,FALSE),VLOOKUP(A372,Monitoring!$B$25:$H$390,7,FALSE)),""))</f>
        <v/>
      </c>
      <c r="P372" s="51"/>
      <c r="Q372" s="151" t="str">
        <f>IF(B372='!'!$GJ$15,'!'!$GJ$15,$Q$12)</f>
        <v>N</v>
      </c>
      <c r="S372" s="4" t="str">
        <f>IFERROR(ABS(T372),'!'!$GJ$15)</f>
        <v>N</v>
      </c>
      <c r="T372" s="84" t="str">
        <f>IFERROR(+G372-D372,'!'!$GJ$15)</f>
        <v>N</v>
      </c>
      <c r="U372" s="64" t="str">
        <f t="shared" si="11"/>
        <v>N</v>
      </c>
      <c r="W372" s="153" t="str">
        <f>IFERROR(I$10*I372,'!'!$GJ$15)</f>
        <v>N</v>
      </c>
      <c r="X372" s="153" t="str">
        <f>IFERROR(K$10*K372,'!'!$GJ$15)</f>
        <v>N</v>
      </c>
      <c r="Y372" s="153" t="str">
        <f>IFERROR(M$10*M372,'!'!$GJ$15)</f>
        <v>N</v>
      </c>
      <c r="Z372" s="153" t="str">
        <f>IFERROR(O$10*O373,'!'!$GJ$15)</f>
        <v>N</v>
      </c>
    </row>
    <row r="373" spans="1:26" x14ac:dyDescent="0.35">
      <c r="A373" s="4">
        <f t="shared" si="10"/>
        <v>349</v>
      </c>
      <c r="B373" s="286" t="str">
        <f>IFERROR(IF(Report!$D$4='!'!$HE$4,VLOOKUP(A373,Reference!$B$25:$H$390,2,FALSE),VLOOKUP(A373,Monitoring!$B$25:$H$390,2,FALSE)),'!'!$GJ$15)</f>
        <v>N</v>
      </c>
      <c r="C373" s="58" t="str">
        <f>Reference!A373</f>
        <v/>
      </c>
      <c r="D373" s="287" t="str">
        <f>IFERROR(IF(Report!$D$4='!'!$HE$4,VLOOKUP(A373,Reference!$B$25:$H$390,3,FALSE),VLOOKUP(A373,Monitoring!$B$25:$H$390,3,FALSE)),'!'!$GJ$15)</f>
        <v>N</v>
      </c>
      <c r="E373" s="285"/>
      <c r="F373" s="254"/>
      <c r="G373" s="151" t="str">
        <f>IF(D373='!'!$GJ$15,'!'!$GJ$15,(SUM(W373,X373,Y373,Z372,Q373)))</f>
        <v>N</v>
      </c>
      <c r="H373" s="51"/>
      <c r="I373" s="299" t="str">
        <f>IF($I$12="","",IFERROR(IF(Report!$D$4='!'!$HE$4,VLOOKUP(A373,Reference!$B$25:$H$390,4,FALSE),VLOOKUP(A373,Monitoring!$B$25:$H$390,4,FALSE)),""))</f>
        <v/>
      </c>
      <c r="J373" s="256"/>
      <c r="K373" s="299" t="str">
        <f>IF($K$12="","",IFERROR(IF(Report!$D$4='!'!$HE$4,VLOOKUP(A373,Reference!$B$25:$H$390,5,FALSE),VLOOKUP(A373,Monitoring!$B$25:$H$390,5,FALSE)),""))</f>
        <v/>
      </c>
      <c r="L373" s="256"/>
      <c r="M373" s="299" t="str">
        <f>IF($M$12="","",IFERROR(IF(Report!$D$4='!'!$HE$4,VLOOKUP(A373,Reference!$B$25:$H$390,6,FALSE),VLOOKUP(A373,Monitoring!$B$25:$H$390,6,FALSE)),""))</f>
        <v/>
      </c>
      <c r="N373" s="256"/>
      <c r="O373" s="299" t="str">
        <f>IF($O$12="","",IFERROR(IF(Report!$D$4='!'!$HE$4,VLOOKUP(A373,Reference!$B$25:$H$390,7,FALSE),VLOOKUP(A373,Monitoring!$B$25:$H$390,7,FALSE)),""))</f>
        <v/>
      </c>
      <c r="P373" s="51"/>
      <c r="Q373" s="151" t="str">
        <f>IF(B373='!'!$GJ$15,'!'!$GJ$15,$Q$12)</f>
        <v>N</v>
      </c>
      <c r="S373" s="4" t="str">
        <f>IFERROR(ABS(T373),'!'!$GJ$15)</f>
        <v>N</v>
      </c>
      <c r="T373" s="84" t="str">
        <f>IFERROR(+G373-D373,'!'!$GJ$15)</f>
        <v>N</v>
      </c>
      <c r="U373" s="64" t="str">
        <f t="shared" si="11"/>
        <v>N</v>
      </c>
      <c r="W373" s="153" t="str">
        <f>IFERROR(I$10*I373,'!'!$GJ$15)</f>
        <v>N</v>
      </c>
      <c r="X373" s="153" t="str">
        <f>IFERROR(K$10*K373,'!'!$GJ$15)</f>
        <v>N</v>
      </c>
      <c r="Y373" s="153" t="str">
        <f>IFERROR(M$10*M373,'!'!$GJ$15)</f>
        <v>N</v>
      </c>
      <c r="Z373" s="153" t="str">
        <f>IFERROR(O$10*O374,'!'!$GJ$15)</f>
        <v>N</v>
      </c>
    </row>
    <row r="374" spans="1:26" x14ac:dyDescent="0.35">
      <c r="A374" s="4">
        <f t="shared" si="10"/>
        <v>350</v>
      </c>
      <c r="B374" s="286" t="str">
        <f>IFERROR(IF(Report!$D$4='!'!$HE$4,VLOOKUP(A374,Reference!$B$25:$H$390,2,FALSE),VLOOKUP(A374,Monitoring!$B$25:$H$390,2,FALSE)),'!'!$GJ$15)</f>
        <v>N</v>
      </c>
      <c r="C374" s="58" t="str">
        <f>Reference!A374</f>
        <v/>
      </c>
      <c r="D374" s="287" t="str">
        <f>IFERROR(IF(Report!$D$4='!'!$HE$4,VLOOKUP(A374,Reference!$B$25:$H$390,3,FALSE),VLOOKUP(A374,Monitoring!$B$25:$H$390,3,FALSE)),'!'!$GJ$15)</f>
        <v>N</v>
      </c>
      <c r="E374" s="285"/>
      <c r="F374" s="254"/>
      <c r="G374" s="151" t="str">
        <f>IF(D374='!'!$GJ$15,'!'!$GJ$15,(SUM(W374,X374,Y374,Z373,Q374)))</f>
        <v>N</v>
      </c>
      <c r="H374" s="51"/>
      <c r="I374" s="299" t="str">
        <f>IF($I$12="","",IFERROR(IF(Report!$D$4='!'!$HE$4,VLOOKUP(A374,Reference!$B$25:$H$390,4,FALSE),VLOOKUP(A374,Monitoring!$B$25:$H$390,4,FALSE)),""))</f>
        <v/>
      </c>
      <c r="J374" s="256"/>
      <c r="K374" s="299" t="str">
        <f>IF($K$12="","",IFERROR(IF(Report!$D$4='!'!$HE$4,VLOOKUP(A374,Reference!$B$25:$H$390,5,FALSE),VLOOKUP(A374,Monitoring!$B$25:$H$390,5,FALSE)),""))</f>
        <v/>
      </c>
      <c r="L374" s="256"/>
      <c r="M374" s="299" t="str">
        <f>IF($M$12="","",IFERROR(IF(Report!$D$4='!'!$HE$4,VLOOKUP(A374,Reference!$B$25:$H$390,6,FALSE),VLOOKUP(A374,Monitoring!$B$25:$H$390,6,FALSE)),""))</f>
        <v/>
      </c>
      <c r="N374" s="256"/>
      <c r="O374" s="299" t="str">
        <f>IF($O$12="","",IFERROR(IF(Report!$D$4='!'!$HE$4,VLOOKUP(A374,Reference!$B$25:$H$390,7,FALSE),VLOOKUP(A374,Monitoring!$B$25:$H$390,7,FALSE)),""))</f>
        <v/>
      </c>
      <c r="P374" s="51"/>
      <c r="Q374" s="151" t="str">
        <f>IF(B374='!'!$GJ$15,'!'!$GJ$15,$Q$12)</f>
        <v>N</v>
      </c>
      <c r="S374" s="4" t="str">
        <f>IFERROR(ABS(T374),'!'!$GJ$15)</f>
        <v>N</v>
      </c>
      <c r="T374" s="84" t="str">
        <f>IFERROR(+G374-D374,'!'!$GJ$15)</f>
        <v>N</v>
      </c>
      <c r="U374" s="64" t="str">
        <f t="shared" si="11"/>
        <v>N</v>
      </c>
      <c r="W374" s="153" t="str">
        <f>IFERROR(I$10*I374,'!'!$GJ$15)</f>
        <v>N</v>
      </c>
      <c r="X374" s="153" t="str">
        <f>IFERROR(K$10*K374,'!'!$GJ$15)</f>
        <v>N</v>
      </c>
      <c r="Y374" s="153" t="str">
        <f>IFERROR(M$10*M374,'!'!$GJ$15)</f>
        <v>N</v>
      </c>
      <c r="Z374" s="153" t="str">
        <f>IFERROR(O$10*O375,'!'!$GJ$15)</f>
        <v>N</v>
      </c>
    </row>
    <row r="375" spans="1:26" x14ac:dyDescent="0.35">
      <c r="A375" s="4">
        <f t="shared" si="10"/>
        <v>351</v>
      </c>
      <c r="B375" s="286" t="str">
        <f>IFERROR(IF(Report!$D$4='!'!$HE$4,VLOOKUP(A375,Reference!$B$25:$H$390,2,FALSE),VLOOKUP(A375,Monitoring!$B$25:$H$390,2,FALSE)),'!'!$GJ$15)</f>
        <v>N</v>
      </c>
      <c r="C375" s="58" t="str">
        <f>Reference!A375</f>
        <v/>
      </c>
      <c r="D375" s="287" t="str">
        <f>IFERROR(IF(Report!$D$4='!'!$HE$4,VLOOKUP(A375,Reference!$B$25:$H$390,3,FALSE),VLOOKUP(A375,Monitoring!$B$25:$H$390,3,FALSE)),'!'!$GJ$15)</f>
        <v>N</v>
      </c>
      <c r="E375" s="285"/>
      <c r="F375" s="254"/>
      <c r="G375" s="151" t="str">
        <f>IF(D375='!'!$GJ$15,'!'!$GJ$15,(SUM(W375,X375,Y375,Z374,Q375)))</f>
        <v>N</v>
      </c>
      <c r="H375" s="51"/>
      <c r="I375" s="299" t="str">
        <f>IF($I$12="","",IFERROR(IF(Report!$D$4='!'!$HE$4,VLOOKUP(A375,Reference!$B$25:$H$390,4,FALSE),VLOOKUP(A375,Monitoring!$B$25:$H$390,4,FALSE)),""))</f>
        <v/>
      </c>
      <c r="J375" s="256"/>
      <c r="K375" s="299" t="str">
        <f>IF($K$12="","",IFERROR(IF(Report!$D$4='!'!$HE$4,VLOOKUP(A375,Reference!$B$25:$H$390,5,FALSE),VLOOKUP(A375,Monitoring!$B$25:$H$390,5,FALSE)),""))</f>
        <v/>
      </c>
      <c r="L375" s="256"/>
      <c r="M375" s="299" t="str">
        <f>IF($M$12="","",IFERROR(IF(Report!$D$4='!'!$HE$4,VLOOKUP(A375,Reference!$B$25:$H$390,6,FALSE),VLOOKUP(A375,Monitoring!$B$25:$H$390,6,FALSE)),""))</f>
        <v/>
      </c>
      <c r="N375" s="256"/>
      <c r="O375" s="299" t="str">
        <f>IF($O$12="","",IFERROR(IF(Report!$D$4='!'!$HE$4,VLOOKUP(A375,Reference!$B$25:$H$390,7,FALSE),VLOOKUP(A375,Monitoring!$B$25:$H$390,7,FALSE)),""))</f>
        <v/>
      </c>
      <c r="P375" s="51"/>
      <c r="Q375" s="151" t="str">
        <f>IF(B375='!'!$GJ$15,'!'!$GJ$15,$Q$12)</f>
        <v>N</v>
      </c>
      <c r="S375" s="4" t="str">
        <f>IFERROR(ABS(T375),'!'!$GJ$15)</f>
        <v>N</v>
      </c>
      <c r="T375" s="84" t="str">
        <f>IFERROR(+G375-D375,'!'!$GJ$15)</f>
        <v>N</v>
      </c>
      <c r="U375" s="64" t="str">
        <f t="shared" si="11"/>
        <v>N</v>
      </c>
      <c r="W375" s="153" t="str">
        <f>IFERROR(I$10*I375,'!'!$GJ$15)</f>
        <v>N</v>
      </c>
      <c r="X375" s="153" t="str">
        <f>IFERROR(K$10*K375,'!'!$GJ$15)</f>
        <v>N</v>
      </c>
      <c r="Y375" s="153" t="str">
        <f>IFERROR(M$10*M375,'!'!$GJ$15)</f>
        <v>N</v>
      </c>
      <c r="Z375" s="153" t="str">
        <f>IFERROR(O$10*O376,'!'!$GJ$15)</f>
        <v>N</v>
      </c>
    </row>
    <row r="376" spans="1:26" x14ac:dyDescent="0.35">
      <c r="A376" s="4">
        <f t="shared" si="10"/>
        <v>352</v>
      </c>
      <c r="B376" s="286" t="str">
        <f>IFERROR(IF(Report!$D$4='!'!$HE$4,VLOOKUP(A376,Reference!$B$25:$H$390,2,FALSE),VLOOKUP(A376,Monitoring!$B$25:$H$390,2,FALSE)),'!'!$GJ$15)</f>
        <v>N</v>
      </c>
      <c r="C376" s="58" t="str">
        <f>Reference!A376</f>
        <v/>
      </c>
      <c r="D376" s="287" t="str">
        <f>IFERROR(IF(Report!$D$4='!'!$HE$4,VLOOKUP(A376,Reference!$B$25:$H$390,3,FALSE),VLOOKUP(A376,Monitoring!$B$25:$H$390,3,FALSE)),'!'!$GJ$15)</f>
        <v>N</v>
      </c>
      <c r="E376" s="285"/>
      <c r="F376" s="254"/>
      <c r="G376" s="151" t="str">
        <f>IF(D376='!'!$GJ$15,'!'!$GJ$15,(SUM(W376,X376,Y376,Z375,Q376)))</f>
        <v>N</v>
      </c>
      <c r="H376" s="51"/>
      <c r="I376" s="299" t="str">
        <f>IF($I$12="","",IFERROR(IF(Report!$D$4='!'!$HE$4,VLOOKUP(A376,Reference!$B$25:$H$390,4,FALSE),VLOOKUP(A376,Monitoring!$B$25:$H$390,4,FALSE)),""))</f>
        <v/>
      </c>
      <c r="J376" s="256"/>
      <c r="K376" s="299" t="str">
        <f>IF($K$12="","",IFERROR(IF(Report!$D$4='!'!$HE$4,VLOOKUP(A376,Reference!$B$25:$H$390,5,FALSE),VLOOKUP(A376,Monitoring!$B$25:$H$390,5,FALSE)),""))</f>
        <v/>
      </c>
      <c r="L376" s="256"/>
      <c r="M376" s="299" t="str">
        <f>IF($M$12="","",IFERROR(IF(Report!$D$4='!'!$HE$4,VLOOKUP(A376,Reference!$B$25:$H$390,6,FALSE),VLOOKUP(A376,Monitoring!$B$25:$H$390,6,FALSE)),""))</f>
        <v/>
      </c>
      <c r="N376" s="256"/>
      <c r="O376" s="299" t="str">
        <f>IF($O$12="","",IFERROR(IF(Report!$D$4='!'!$HE$4,VLOOKUP(A376,Reference!$B$25:$H$390,7,FALSE),VLOOKUP(A376,Monitoring!$B$25:$H$390,7,FALSE)),""))</f>
        <v/>
      </c>
      <c r="P376" s="51"/>
      <c r="Q376" s="151" t="str">
        <f>IF(B376='!'!$GJ$15,'!'!$GJ$15,$Q$12)</f>
        <v>N</v>
      </c>
      <c r="S376" s="4" t="str">
        <f>IFERROR(ABS(T376),'!'!$GJ$15)</f>
        <v>N</v>
      </c>
      <c r="T376" s="84" t="str">
        <f>IFERROR(+G376-D376,'!'!$GJ$15)</f>
        <v>N</v>
      </c>
      <c r="U376" s="64" t="str">
        <f t="shared" si="11"/>
        <v>N</v>
      </c>
      <c r="W376" s="153" t="str">
        <f>IFERROR(I$10*I376,'!'!$GJ$15)</f>
        <v>N</v>
      </c>
      <c r="X376" s="153" t="str">
        <f>IFERROR(K$10*K376,'!'!$GJ$15)</f>
        <v>N</v>
      </c>
      <c r="Y376" s="153" t="str">
        <f>IFERROR(M$10*M376,'!'!$GJ$15)</f>
        <v>N</v>
      </c>
      <c r="Z376" s="153" t="str">
        <f>IFERROR(O$10*O377,'!'!$GJ$15)</f>
        <v>N</v>
      </c>
    </row>
    <row r="377" spans="1:26" x14ac:dyDescent="0.35">
      <c r="A377" s="4">
        <f t="shared" si="10"/>
        <v>353</v>
      </c>
      <c r="B377" s="286" t="str">
        <f>IFERROR(IF(Report!$D$4='!'!$HE$4,VLOOKUP(A377,Reference!$B$25:$H$390,2,FALSE),VLOOKUP(A377,Monitoring!$B$25:$H$390,2,FALSE)),'!'!$GJ$15)</f>
        <v>N</v>
      </c>
      <c r="C377" s="58" t="str">
        <f>Reference!A377</f>
        <v/>
      </c>
      <c r="D377" s="287" t="str">
        <f>IFERROR(IF(Report!$D$4='!'!$HE$4,VLOOKUP(A377,Reference!$B$25:$H$390,3,FALSE),VLOOKUP(A377,Monitoring!$B$25:$H$390,3,FALSE)),'!'!$GJ$15)</f>
        <v>N</v>
      </c>
      <c r="E377" s="285"/>
      <c r="F377" s="254"/>
      <c r="G377" s="151" t="str">
        <f>IF(D377='!'!$GJ$15,'!'!$GJ$15,(SUM(W377,X377,Y377,Z376,Q377)))</f>
        <v>N</v>
      </c>
      <c r="H377" s="51"/>
      <c r="I377" s="299" t="str">
        <f>IF($I$12="","",IFERROR(IF(Report!$D$4='!'!$HE$4,VLOOKUP(A377,Reference!$B$25:$H$390,4,FALSE),VLOOKUP(A377,Monitoring!$B$25:$H$390,4,FALSE)),""))</f>
        <v/>
      </c>
      <c r="J377" s="256"/>
      <c r="K377" s="299" t="str">
        <f>IF($K$12="","",IFERROR(IF(Report!$D$4='!'!$HE$4,VLOOKUP(A377,Reference!$B$25:$H$390,5,FALSE),VLOOKUP(A377,Monitoring!$B$25:$H$390,5,FALSE)),""))</f>
        <v/>
      </c>
      <c r="L377" s="256"/>
      <c r="M377" s="299" t="str">
        <f>IF($M$12="","",IFERROR(IF(Report!$D$4='!'!$HE$4,VLOOKUP(A377,Reference!$B$25:$H$390,6,FALSE),VLOOKUP(A377,Monitoring!$B$25:$H$390,6,FALSE)),""))</f>
        <v/>
      </c>
      <c r="N377" s="256"/>
      <c r="O377" s="299" t="str">
        <f>IF($O$12="","",IFERROR(IF(Report!$D$4='!'!$HE$4,VLOOKUP(A377,Reference!$B$25:$H$390,7,FALSE),VLOOKUP(A377,Monitoring!$B$25:$H$390,7,FALSE)),""))</f>
        <v/>
      </c>
      <c r="P377" s="51"/>
      <c r="Q377" s="151" t="str">
        <f>IF(B377='!'!$GJ$15,'!'!$GJ$15,$Q$12)</f>
        <v>N</v>
      </c>
      <c r="S377" s="4" t="str">
        <f>IFERROR(ABS(T377),'!'!$GJ$15)</f>
        <v>N</v>
      </c>
      <c r="T377" s="84" t="str">
        <f>IFERROR(+G377-D377,'!'!$GJ$15)</f>
        <v>N</v>
      </c>
      <c r="U377" s="64" t="str">
        <f t="shared" si="11"/>
        <v>N</v>
      </c>
      <c r="W377" s="153" t="str">
        <f>IFERROR(I$10*I377,'!'!$GJ$15)</f>
        <v>N</v>
      </c>
      <c r="X377" s="153" t="str">
        <f>IFERROR(K$10*K377,'!'!$GJ$15)</f>
        <v>N</v>
      </c>
      <c r="Y377" s="153" t="str">
        <f>IFERROR(M$10*M377,'!'!$GJ$15)</f>
        <v>N</v>
      </c>
      <c r="Z377" s="153" t="str">
        <f>IFERROR(O$10*O378,'!'!$GJ$15)</f>
        <v>N</v>
      </c>
    </row>
    <row r="378" spans="1:26" x14ac:dyDescent="0.35">
      <c r="A378" s="4">
        <f t="shared" si="10"/>
        <v>354</v>
      </c>
      <c r="B378" s="286" t="str">
        <f>IFERROR(IF(Report!$D$4='!'!$HE$4,VLOOKUP(A378,Reference!$B$25:$H$390,2,FALSE),VLOOKUP(A378,Monitoring!$B$25:$H$390,2,FALSE)),'!'!$GJ$15)</f>
        <v>N</v>
      </c>
      <c r="C378" s="58" t="str">
        <f>Reference!A378</f>
        <v/>
      </c>
      <c r="D378" s="287" t="str">
        <f>IFERROR(IF(Report!$D$4='!'!$HE$4,VLOOKUP(A378,Reference!$B$25:$H$390,3,FALSE),VLOOKUP(A378,Monitoring!$B$25:$H$390,3,FALSE)),'!'!$GJ$15)</f>
        <v>N</v>
      </c>
      <c r="E378" s="285"/>
      <c r="F378" s="254"/>
      <c r="G378" s="151" t="str">
        <f>IF(D378='!'!$GJ$15,'!'!$GJ$15,(SUM(W378,X378,Y378,Z377,Q378)))</f>
        <v>N</v>
      </c>
      <c r="H378" s="51"/>
      <c r="I378" s="299" t="str">
        <f>IF($I$12="","",IFERROR(IF(Report!$D$4='!'!$HE$4,VLOOKUP(A378,Reference!$B$25:$H$390,4,FALSE),VLOOKUP(A378,Monitoring!$B$25:$H$390,4,FALSE)),""))</f>
        <v/>
      </c>
      <c r="J378" s="256"/>
      <c r="K378" s="299" t="str">
        <f>IF($K$12="","",IFERROR(IF(Report!$D$4='!'!$HE$4,VLOOKUP(A378,Reference!$B$25:$H$390,5,FALSE),VLOOKUP(A378,Monitoring!$B$25:$H$390,5,FALSE)),""))</f>
        <v/>
      </c>
      <c r="L378" s="256"/>
      <c r="M378" s="299" t="str">
        <f>IF($M$12="","",IFERROR(IF(Report!$D$4='!'!$HE$4,VLOOKUP(A378,Reference!$B$25:$H$390,6,FALSE),VLOOKUP(A378,Monitoring!$B$25:$H$390,6,FALSE)),""))</f>
        <v/>
      </c>
      <c r="N378" s="256"/>
      <c r="O378" s="299" t="str">
        <f>IF($O$12="","",IFERROR(IF(Report!$D$4='!'!$HE$4,VLOOKUP(A378,Reference!$B$25:$H$390,7,FALSE),VLOOKUP(A378,Monitoring!$B$25:$H$390,7,FALSE)),""))</f>
        <v/>
      </c>
      <c r="P378" s="51"/>
      <c r="Q378" s="151" t="str">
        <f>IF(B378='!'!$GJ$15,'!'!$GJ$15,$Q$12)</f>
        <v>N</v>
      </c>
      <c r="S378" s="4" t="str">
        <f>IFERROR(ABS(T378),'!'!$GJ$15)</f>
        <v>N</v>
      </c>
      <c r="T378" s="84" t="str">
        <f>IFERROR(+G378-D378,'!'!$GJ$15)</f>
        <v>N</v>
      </c>
      <c r="U378" s="64" t="str">
        <f t="shared" si="11"/>
        <v>N</v>
      </c>
      <c r="W378" s="153" t="str">
        <f>IFERROR(I$10*I378,'!'!$GJ$15)</f>
        <v>N</v>
      </c>
      <c r="X378" s="153" t="str">
        <f>IFERROR(K$10*K378,'!'!$GJ$15)</f>
        <v>N</v>
      </c>
      <c r="Y378" s="153" t="str">
        <f>IFERROR(M$10*M378,'!'!$GJ$15)</f>
        <v>N</v>
      </c>
      <c r="Z378" s="153" t="str">
        <f>IFERROR(O$10*O379,'!'!$GJ$15)</f>
        <v>N</v>
      </c>
    </row>
    <row r="379" spans="1:26" x14ac:dyDescent="0.35">
      <c r="A379" s="4">
        <f t="shared" si="10"/>
        <v>355</v>
      </c>
      <c r="B379" s="286" t="str">
        <f>IFERROR(IF(Report!$D$4='!'!$HE$4,VLOOKUP(A379,Reference!$B$25:$H$390,2,FALSE),VLOOKUP(A379,Monitoring!$B$25:$H$390,2,FALSE)),'!'!$GJ$15)</f>
        <v>N</v>
      </c>
      <c r="C379" s="58" t="str">
        <f>Reference!A379</f>
        <v/>
      </c>
      <c r="D379" s="287" t="str">
        <f>IFERROR(IF(Report!$D$4='!'!$HE$4,VLOOKUP(A379,Reference!$B$25:$H$390,3,FALSE),VLOOKUP(A379,Monitoring!$B$25:$H$390,3,FALSE)),'!'!$GJ$15)</f>
        <v>N</v>
      </c>
      <c r="E379" s="285"/>
      <c r="F379" s="254"/>
      <c r="G379" s="151" t="str">
        <f>IF(D379='!'!$GJ$15,'!'!$GJ$15,(SUM(W379,X379,Y379,Z378,Q379)))</f>
        <v>N</v>
      </c>
      <c r="H379" s="51"/>
      <c r="I379" s="299" t="str">
        <f>IF($I$12="","",IFERROR(IF(Report!$D$4='!'!$HE$4,VLOOKUP(A379,Reference!$B$25:$H$390,4,FALSE),VLOOKUP(A379,Monitoring!$B$25:$H$390,4,FALSE)),""))</f>
        <v/>
      </c>
      <c r="J379" s="256"/>
      <c r="K379" s="299" t="str">
        <f>IF($K$12="","",IFERROR(IF(Report!$D$4='!'!$HE$4,VLOOKUP(A379,Reference!$B$25:$H$390,5,FALSE),VLOOKUP(A379,Monitoring!$B$25:$H$390,5,FALSE)),""))</f>
        <v/>
      </c>
      <c r="L379" s="256"/>
      <c r="M379" s="299" t="str">
        <f>IF($M$12="","",IFERROR(IF(Report!$D$4='!'!$HE$4,VLOOKUP(A379,Reference!$B$25:$H$390,6,FALSE),VLOOKUP(A379,Monitoring!$B$25:$H$390,6,FALSE)),""))</f>
        <v/>
      </c>
      <c r="N379" s="256"/>
      <c r="O379" s="299" t="str">
        <f>IF($O$12="","",IFERROR(IF(Report!$D$4='!'!$HE$4,VLOOKUP(A379,Reference!$B$25:$H$390,7,FALSE),VLOOKUP(A379,Monitoring!$B$25:$H$390,7,FALSE)),""))</f>
        <v/>
      </c>
      <c r="P379" s="51"/>
      <c r="Q379" s="151" t="str">
        <f>IF(B379='!'!$GJ$15,'!'!$GJ$15,$Q$12)</f>
        <v>N</v>
      </c>
      <c r="S379" s="4" t="str">
        <f>IFERROR(ABS(T379),'!'!$GJ$15)</f>
        <v>N</v>
      </c>
      <c r="T379" s="84" t="str">
        <f>IFERROR(+G379-D379,'!'!$GJ$15)</f>
        <v>N</v>
      </c>
      <c r="U379" s="64" t="str">
        <f t="shared" si="11"/>
        <v>N</v>
      </c>
      <c r="W379" s="153" t="str">
        <f>IFERROR(I$10*I379,'!'!$GJ$15)</f>
        <v>N</v>
      </c>
      <c r="X379" s="153" t="str">
        <f>IFERROR(K$10*K379,'!'!$GJ$15)</f>
        <v>N</v>
      </c>
      <c r="Y379" s="153" t="str">
        <f>IFERROR(M$10*M379,'!'!$GJ$15)</f>
        <v>N</v>
      </c>
      <c r="Z379" s="153" t="str">
        <f>IFERROR(O$10*O380,'!'!$GJ$15)</f>
        <v>N</v>
      </c>
    </row>
    <row r="380" spans="1:26" x14ac:dyDescent="0.35">
      <c r="A380" s="4">
        <f t="shared" si="10"/>
        <v>356</v>
      </c>
      <c r="B380" s="286" t="str">
        <f>IFERROR(IF(Report!$D$4='!'!$HE$4,VLOOKUP(A380,Reference!$B$25:$H$390,2,FALSE),VLOOKUP(A380,Monitoring!$B$25:$H$390,2,FALSE)),'!'!$GJ$15)</f>
        <v>N</v>
      </c>
      <c r="C380" s="58" t="str">
        <f>Reference!A380</f>
        <v/>
      </c>
      <c r="D380" s="287" t="str">
        <f>IFERROR(IF(Report!$D$4='!'!$HE$4,VLOOKUP(A380,Reference!$B$25:$H$390,3,FALSE),VLOOKUP(A380,Monitoring!$B$25:$H$390,3,FALSE)),'!'!$GJ$15)</f>
        <v>N</v>
      </c>
      <c r="E380" s="285"/>
      <c r="F380" s="254"/>
      <c r="G380" s="151" t="str">
        <f>IF(D380='!'!$GJ$15,'!'!$GJ$15,(SUM(W380,X380,Y380,Z379,Q380)))</f>
        <v>N</v>
      </c>
      <c r="H380" s="51"/>
      <c r="I380" s="299" t="str">
        <f>IF($I$12="","",IFERROR(IF(Report!$D$4='!'!$HE$4,VLOOKUP(A380,Reference!$B$25:$H$390,4,FALSE),VLOOKUP(A380,Monitoring!$B$25:$H$390,4,FALSE)),""))</f>
        <v/>
      </c>
      <c r="J380" s="256"/>
      <c r="K380" s="299" t="str">
        <f>IF($K$12="","",IFERROR(IF(Report!$D$4='!'!$HE$4,VLOOKUP(A380,Reference!$B$25:$H$390,5,FALSE),VLOOKUP(A380,Monitoring!$B$25:$H$390,5,FALSE)),""))</f>
        <v/>
      </c>
      <c r="L380" s="256"/>
      <c r="M380" s="299" t="str">
        <f>IF($M$12="","",IFERROR(IF(Report!$D$4='!'!$HE$4,VLOOKUP(A380,Reference!$B$25:$H$390,6,FALSE),VLOOKUP(A380,Monitoring!$B$25:$H$390,6,FALSE)),""))</f>
        <v/>
      </c>
      <c r="N380" s="256"/>
      <c r="O380" s="299" t="str">
        <f>IF($O$12="","",IFERROR(IF(Report!$D$4='!'!$HE$4,VLOOKUP(A380,Reference!$B$25:$H$390,7,FALSE),VLOOKUP(A380,Monitoring!$B$25:$H$390,7,FALSE)),""))</f>
        <v/>
      </c>
      <c r="P380" s="51"/>
      <c r="Q380" s="151" t="str">
        <f>IF(B380='!'!$GJ$15,'!'!$GJ$15,$Q$12)</f>
        <v>N</v>
      </c>
      <c r="S380" s="4" t="str">
        <f>IFERROR(ABS(T380),'!'!$GJ$15)</f>
        <v>N</v>
      </c>
      <c r="T380" s="84" t="str">
        <f>IFERROR(+G380-D380,'!'!$GJ$15)</f>
        <v>N</v>
      </c>
      <c r="U380" s="64" t="str">
        <f t="shared" si="11"/>
        <v>N</v>
      </c>
      <c r="W380" s="153" t="str">
        <f>IFERROR(I$10*I380,'!'!$GJ$15)</f>
        <v>N</v>
      </c>
      <c r="X380" s="153" t="str">
        <f>IFERROR(K$10*K380,'!'!$GJ$15)</f>
        <v>N</v>
      </c>
      <c r="Y380" s="153" t="str">
        <f>IFERROR(M$10*M380,'!'!$GJ$15)</f>
        <v>N</v>
      </c>
      <c r="Z380" s="153" t="str">
        <f>IFERROR(O$10*O381,'!'!$GJ$15)</f>
        <v>N</v>
      </c>
    </row>
    <row r="381" spans="1:26" x14ac:dyDescent="0.35">
      <c r="A381" s="4">
        <f t="shared" si="10"/>
        <v>357</v>
      </c>
      <c r="B381" s="286" t="str">
        <f>IFERROR(IF(Report!$D$4='!'!$HE$4,VLOOKUP(A381,Reference!$B$25:$H$390,2,FALSE),VLOOKUP(A381,Monitoring!$B$25:$H$390,2,FALSE)),'!'!$GJ$15)</f>
        <v>N</v>
      </c>
      <c r="C381" s="58" t="str">
        <f>Reference!A381</f>
        <v/>
      </c>
      <c r="D381" s="287" t="str">
        <f>IFERROR(IF(Report!$D$4='!'!$HE$4,VLOOKUP(A381,Reference!$B$25:$H$390,3,FALSE),VLOOKUP(A381,Monitoring!$B$25:$H$390,3,FALSE)),'!'!$GJ$15)</f>
        <v>N</v>
      </c>
      <c r="E381" s="285"/>
      <c r="F381" s="254"/>
      <c r="G381" s="151" t="str">
        <f>IF(D381='!'!$GJ$15,'!'!$GJ$15,(SUM(W381,X381,Y381,Z380,Q381)))</f>
        <v>N</v>
      </c>
      <c r="H381" s="51"/>
      <c r="I381" s="299" t="str">
        <f>IF($I$12="","",IFERROR(IF(Report!$D$4='!'!$HE$4,VLOOKUP(A381,Reference!$B$25:$H$390,4,FALSE),VLOOKUP(A381,Monitoring!$B$25:$H$390,4,FALSE)),""))</f>
        <v/>
      </c>
      <c r="J381" s="256"/>
      <c r="K381" s="299" t="str">
        <f>IF($K$12="","",IFERROR(IF(Report!$D$4='!'!$HE$4,VLOOKUP(A381,Reference!$B$25:$H$390,5,FALSE),VLOOKUP(A381,Monitoring!$B$25:$H$390,5,FALSE)),""))</f>
        <v/>
      </c>
      <c r="L381" s="256"/>
      <c r="M381" s="299" t="str">
        <f>IF($M$12="","",IFERROR(IF(Report!$D$4='!'!$HE$4,VLOOKUP(A381,Reference!$B$25:$H$390,6,FALSE),VLOOKUP(A381,Monitoring!$B$25:$H$390,6,FALSE)),""))</f>
        <v/>
      </c>
      <c r="N381" s="256"/>
      <c r="O381" s="299" t="str">
        <f>IF($O$12="","",IFERROR(IF(Report!$D$4='!'!$HE$4,VLOOKUP(A381,Reference!$B$25:$H$390,7,FALSE),VLOOKUP(A381,Monitoring!$B$25:$H$390,7,FALSE)),""))</f>
        <v/>
      </c>
      <c r="P381" s="51"/>
      <c r="Q381" s="151" t="str">
        <f>IF(B381='!'!$GJ$15,'!'!$GJ$15,$Q$12)</f>
        <v>N</v>
      </c>
      <c r="S381" s="4" t="str">
        <f>IFERROR(ABS(T381),'!'!$GJ$15)</f>
        <v>N</v>
      </c>
      <c r="T381" s="84" t="str">
        <f>IFERROR(+G381-D381,'!'!$GJ$15)</f>
        <v>N</v>
      </c>
      <c r="U381" s="64" t="str">
        <f t="shared" si="11"/>
        <v>N</v>
      </c>
      <c r="W381" s="153" t="str">
        <f>IFERROR(I$10*I381,'!'!$GJ$15)</f>
        <v>N</v>
      </c>
      <c r="X381" s="153" t="str">
        <f>IFERROR(K$10*K381,'!'!$GJ$15)</f>
        <v>N</v>
      </c>
      <c r="Y381" s="153" t="str">
        <f>IFERROR(M$10*M381,'!'!$GJ$15)</f>
        <v>N</v>
      </c>
      <c r="Z381" s="153" t="str">
        <f>IFERROR(O$10*O382,'!'!$GJ$15)</f>
        <v>N</v>
      </c>
    </row>
    <row r="382" spans="1:26" x14ac:dyDescent="0.35">
      <c r="A382" s="4">
        <f t="shared" si="10"/>
        <v>358</v>
      </c>
      <c r="B382" s="286" t="str">
        <f>IFERROR(IF(Report!$D$4='!'!$HE$4,VLOOKUP(A382,Reference!$B$25:$H$390,2,FALSE),VLOOKUP(A382,Monitoring!$B$25:$H$390,2,FALSE)),'!'!$GJ$15)</f>
        <v>N</v>
      </c>
      <c r="C382" s="58" t="str">
        <f>Reference!A382</f>
        <v/>
      </c>
      <c r="D382" s="287" t="str">
        <f>IFERROR(IF(Report!$D$4='!'!$HE$4,VLOOKUP(A382,Reference!$B$25:$H$390,3,FALSE),VLOOKUP(A382,Monitoring!$B$25:$H$390,3,FALSE)),'!'!$GJ$15)</f>
        <v>N</v>
      </c>
      <c r="E382" s="285"/>
      <c r="F382" s="254"/>
      <c r="G382" s="151" t="str">
        <f>IF(D382='!'!$GJ$15,'!'!$GJ$15,(SUM(W382,X382,Y382,Z381,Q382)))</f>
        <v>N</v>
      </c>
      <c r="H382" s="51"/>
      <c r="I382" s="299" t="str">
        <f>IF($I$12="","",IFERROR(IF(Report!$D$4='!'!$HE$4,VLOOKUP(A382,Reference!$B$25:$H$390,4,FALSE),VLOOKUP(A382,Monitoring!$B$25:$H$390,4,FALSE)),""))</f>
        <v/>
      </c>
      <c r="J382" s="256"/>
      <c r="K382" s="299" t="str">
        <f>IF($K$12="","",IFERROR(IF(Report!$D$4='!'!$HE$4,VLOOKUP(A382,Reference!$B$25:$H$390,5,FALSE),VLOOKUP(A382,Monitoring!$B$25:$H$390,5,FALSE)),""))</f>
        <v/>
      </c>
      <c r="L382" s="256"/>
      <c r="M382" s="299" t="str">
        <f>IF($M$12="","",IFERROR(IF(Report!$D$4='!'!$HE$4,VLOOKUP(A382,Reference!$B$25:$H$390,6,FALSE),VLOOKUP(A382,Monitoring!$B$25:$H$390,6,FALSE)),""))</f>
        <v/>
      </c>
      <c r="N382" s="256"/>
      <c r="O382" s="299" t="str">
        <f>IF($O$12="","",IFERROR(IF(Report!$D$4='!'!$HE$4,VLOOKUP(A382,Reference!$B$25:$H$390,7,FALSE),VLOOKUP(A382,Monitoring!$B$25:$H$390,7,FALSE)),""))</f>
        <v/>
      </c>
      <c r="P382" s="51"/>
      <c r="Q382" s="151" t="str">
        <f>IF(B382='!'!$GJ$15,'!'!$GJ$15,$Q$12)</f>
        <v>N</v>
      </c>
      <c r="S382" s="4" t="str">
        <f>IFERROR(ABS(T382),'!'!$GJ$15)</f>
        <v>N</v>
      </c>
      <c r="T382" s="84" t="str">
        <f>IFERROR(+G382-D382,'!'!$GJ$15)</f>
        <v>N</v>
      </c>
      <c r="U382" s="64" t="str">
        <f t="shared" si="11"/>
        <v>N</v>
      </c>
      <c r="W382" s="153" t="str">
        <f>IFERROR(I$10*I382,'!'!$GJ$15)</f>
        <v>N</v>
      </c>
      <c r="X382" s="153" t="str">
        <f>IFERROR(K$10*K382,'!'!$GJ$15)</f>
        <v>N</v>
      </c>
      <c r="Y382" s="153" t="str">
        <f>IFERROR(M$10*M382,'!'!$GJ$15)</f>
        <v>N</v>
      </c>
      <c r="Z382" s="153" t="str">
        <f>IFERROR(O$10*O383,'!'!$GJ$15)</f>
        <v>N</v>
      </c>
    </row>
    <row r="383" spans="1:26" x14ac:dyDescent="0.35">
      <c r="A383" s="4">
        <f t="shared" si="10"/>
        <v>359</v>
      </c>
      <c r="B383" s="286" t="str">
        <f>IFERROR(IF(Report!$D$4='!'!$HE$4,VLOOKUP(A383,Reference!$B$25:$H$390,2,FALSE),VLOOKUP(A383,Monitoring!$B$25:$H$390,2,FALSE)),'!'!$GJ$15)</f>
        <v>N</v>
      </c>
      <c r="C383" s="58" t="str">
        <f>Reference!A383</f>
        <v/>
      </c>
      <c r="D383" s="287" t="str">
        <f>IFERROR(IF(Report!$D$4='!'!$HE$4,VLOOKUP(A383,Reference!$B$25:$H$390,3,FALSE),VLOOKUP(A383,Monitoring!$B$25:$H$390,3,FALSE)),'!'!$GJ$15)</f>
        <v>N</v>
      </c>
      <c r="E383" s="285"/>
      <c r="F383" s="254"/>
      <c r="G383" s="151" t="str">
        <f>IF(D383='!'!$GJ$15,'!'!$GJ$15,(SUM(W383,X383,Y383,Z382,Q383)))</f>
        <v>N</v>
      </c>
      <c r="H383" s="51"/>
      <c r="I383" s="299" t="str">
        <f>IF($I$12="","",IFERROR(IF(Report!$D$4='!'!$HE$4,VLOOKUP(A383,Reference!$B$25:$H$390,4,FALSE),VLOOKUP(A383,Monitoring!$B$25:$H$390,4,FALSE)),""))</f>
        <v/>
      </c>
      <c r="J383" s="256"/>
      <c r="K383" s="299" t="str">
        <f>IF($K$12="","",IFERROR(IF(Report!$D$4='!'!$HE$4,VLOOKUP(A383,Reference!$B$25:$H$390,5,FALSE),VLOOKUP(A383,Monitoring!$B$25:$H$390,5,FALSE)),""))</f>
        <v/>
      </c>
      <c r="L383" s="256"/>
      <c r="M383" s="299" t="str">
        <f>IF($M$12="","",IFERROR(IF(Report!$D$4='!'!$HE$4,VLOOKUP(A383,Reference!$B$25:$H$390,6,FALSE),VLOOKUP(A383,Monitoring!$B$25:$H$390,6,FALSE)),""))</f>
        <v/>
      </c>
      <c r="N383" s="256"/>
      <c r="O383" s="299" t="str">
        <f>IF($O$12="","",IFERROR(IF(Report!$D$4='!'!$HE$4,VLOOKUP(A383,Reference!$B$25:$H$390,7,FALSE),VLOOKUP(A383,Monitoring!$B$25:$H$390,7,FALSE)),""))</f>
        <v/>
      </c>
      <c r="P383" s="51"/>
      <c r="Q383" s="151" t="str">
        <f>IF(B383='!'!$GJ$15,'!'!$GJ$15,$Q$12)</f>
        <v>N</v>
      </c>
      <c r="S383" s="4" t="str">
        <f>IFERROR(ABS(T383),'!'!$GJ$15)</f>
        <v>N</v>
      </c>
      <c r="T383" s="84" t="str">
        <f>IFERROR(+G383-D383,'!'!$GJ$15)</f>
        <v>N</v>
      </c>
      <c r="U383" s="64" t="str">
        <f t="shared" si="11"/>
        <v>N</v>
      </c>
      <c r="W383" s="153" t="str">
        <f>IFERROR(I$10*I383,'!'!$GJ$15)</f>
        <v>N</v>
      </c>
      <c r="X383" s="153" t="str">
        <f>IFERROR(K$10*K383,'!'!$GJ$15)</f>
        <v>N</v>
      </c>
      <c r="Y383" s="153" t="str">
        <f>IFERROR(M$10*M383,'!'!$GJ$15)</f>
        <v>N</v>
      </c>
      <c r="Z383" s="153" t="str">
        <f>IFERROR(O$10*O384,'!'!$GJ$15)</f>
        <v>N</v>
      </c>
    </row>
    <row r="384" spans="1:26" x14ac:dyDescent="0.35">
      <c r="A384" s="4">
        <f t="shared" si="10"/>
        <v>360</v>
      </c>
      <c r="B384" s="286" t="str">
        <f>IFERROR(IF(Report!$D$4='!'!$HE$4,VLOOKUP(A384,Reference!$B$25:$H$390,2,FALSE),VLOOKUP(A384,Monitoring!$B$25:$H$390,2,FALSE)),'!'!$GJ$15)</f>
        <v>N</v>
      </c>
      <c r="C384" s="58" t="str">
        <f>Reference!A384</f>
        <v/>
      </c>
      <c r="D384" s="287" t="str">
        <f>IFERROR(IF(Report!$D$4='!'!$HE$4,VLOOKUP(A384,Reference!$B$25:$H$390,3,FALSE),VLOOKUP(A384,Monitoring!$B$25:$H$390,3,FALSE)),'!'!$GJ$15)</f>
        <v>N</v>
      </c>
      <c r="E384" s="285"/>
      <c r="F384" s="254"/>
      <c r="G384" s="151" t="str">
        <f>IF(D384='!'!$GJ$15,'!'!$GJ$15,(SUM(W384,X384,Y384,Z383,Q384)))</f>
        <v>N</v>
      </c>
      <c r="H384" s="51"/>
      <c r="I384" s="299" t="str">
        <f>IF($I$12="","",IFERROR(IF(Report!$D$4='!'!$HE$4,VLOOKUP(A384,Reference!$B$25:$H$390,4,FALSE),VLOOKUP(A384,Monitoring!$B$25:$H$390,4,FALSE)),""))</f>
        <v/>
      </c>
      <c r="J384" s="256"/>
      <c r="K384" s="299" t="str">
        <f>IF($K$12="","",IFERROR(IF(Report!$D$4='!'!$HE$4,VLOOKUP(A384,Reference!$B$25:$H$390,5,FALSE),VLOOKUP(A384,Monitoring!$B$25:$H$390,5,FALSE)),""))</f>
        <v/>
      </c>
      <c r="L384" s="256"/>
      <c r="M384" s="299" t="str">
        <f>IF($M$12="","",IFERROR(IF(Report!$D$4='!'!$HE$4,VLOOKUP(A384,Reference!$B$25:$H$390,6,FALSE),VLOOKUP(A384,Monitoring!$B$25:$H$390,6,FALSE)),""))</f>
        <v/>
      </c>
      <c r="N384" s="256"/>
      <c r="O384" s="299" t="str">
        <f>IF($O$12="","",IFERROR(IF(Report!$D$4='!'!$HE$4,VLOOKUP(A384,Reference!$B$25:$H$390,7,FALSE),VLOOKUP(A384,Monitoring!$B$25:$H$390,7,FALSE)),""))</f>
        <v/>
      </c>
      <c r="P384" s="51"/>
      <c r="Q384" s="151" t="str">
        <f>IF(B384='!'!$GJ$15,'!'!$GJ$15,$Q$12)</f>
        <v>N</v>
      </c>
      <c r="S384" s="4" t="str">
        <f>IFERROR(ABS(T384),'!'!$GJ$15)</f>
        <v>N</v>
      </c>
      <c r="T384" s="84" t="str">
        <f>IFERROR(+G384-D384,'!'!$GJ$15)</f>
        <v>N</v>
      </c>
      <c r="U384" s="64" t="str">
        <f t="shared" si="11"/>
        <v>N</v>
      </c>
      <c r="W384" s="153" t="str">
        <f>IFERROR(I$10*I384,'!'!$GJ$15)</f>
        <v>N</v>
      </c>
      <c r="X384" s="153" t="str">
        <f>IFERROR(K$10*K384,'!'!$GJ$15)</f>
        <v>N</v>
      </c>
      <c r="Y384" s="153" t="str">
        <f>IFERROR(M$10*M384,'!'!$GJ$15)</f>
        <v>N</v>
      </c>
      <c r="Z384" s="153" t="str">
        <f>IFERROR(O$10*O385,'!'!$GJ$15)</f>
        <v>N</v>
      </c>
    </row>
    <row r="385" spans="1:26" x14ac:dyDescent="0.35">
      <c r="A385" s="4">
        <f t="shared" si="10"/>
        <v>361</v>
      </c>
      <c r="B385" s="286" t="str">
        <f>IFERROR(IF(Report!$D$4='!'!$HE$4,VLOOKUP(A385,Reference!$B$25:$H$390,2,FALSE),VLOOKUP(A385,Monitoring!$B$25:$H$390,2,FALSE)),'!'!$GJ$15)</f>
        <v>N</v>
      </c>
      <c r="C385" s="58" t="str">
        <f>Reference!A385</f>
        <v/>
      </c>
      <c r="D385" s="287" t="str">
        <f>IFERROR(IF(Report!$D$4='!'!$HE$4,VLOOKUP(A385,Reference!$B$25:$H$390,3,FALSE),VLOOKUP(A385,Monitoring!$B$25:$H$390,3,FALSE)),'!'!$GJ$15)</f>
        <v>N</v>
      </c>
      <c r="E385" s="285"/>
      <c r="F385" s="254"/>
      <c r="G385" s="151" t="str">
        <f>IF(D385='!'!$GJ$15,'!'!$GJ$15,(SUM(W385,X385,Y385,Z384,Q385)))</f>
        <v>N</v>
      </c>
      <c r="H385" s="51"/>
      <c r="I385" s="299" t="str">
        <f>IF($I$12="","",IFERROR(IF(Report!$D$4='!'!$HE$4,VLOOKUP(A385,Reference!$B$25:$H$390,4,FALSE),VLOOKUP(A385,Monitoring!$B$25:$H$390,4,FALSE)),""))</f>
        <v/>
      </c>
      <c r="J385" s="256"/>
      <c r="K385" s="299" t="str">
        <f>IF($K$12="","",IFERROR(IF(Report!$D$4='!'!$HE$4,VLOOKUP(A385,Reference!$B$25:$H$390,5,FALSE),VLOOKUP(A385,Monitoring!$B$25:$H$390,5,FALSE)),""))</f>
        <v/>
      </c>
      <c r="L385" s="256"/>
      <c r="M385" s="299" t="str">
        <f>IF($M$12="","",IFERROR(IF(Report!$D$4='!'!$HE$4,VLOOKUP(A385,Reference!$B$25:$H$390,6,FALSE),VLOOKUP(A385,Monitoring!$B$25:$H$390,6,FALSE)),""))</f>
        <v/>
      </c>
      <c r="N385" s="256"/>
      <c r="O385" s="299" t="str">
        <f>IF($O$12="","",IFERROR(IF(Report!$D$4='!'!$HE$4,VLOOKUP(A385,Reference!$B$25:$H$390,7,FALSE),VLOOKUP(A385,Monitoring!$B$25:$H$390,7,FALSE)),""))</f>
        <v/>
      </c>
      <c r="P385" s="51"/>
      <c r="Q385" s="151" t="str">
        <f>IF(B385='!'!$GJ$15,'!'!$GJ$15,$Q$12)</f>
        <v>N</v>
      </c>
      <c r="S385" s="4" t="str">
        <f>IFERROR(ABS(T385),'!'!$GJ$15)</f>
        <v>N</v>
      </c>
      <c r="T385" s="84" t="str">
        <f>IFERROR(+G385-D385,'!'!$GJ$15)</f>
        <v>N</v>
      </c>
      <c r="U385" s="64" t="str">
        <f t="shared" si="11"/>
        <v>N</v>
      </c>
      <c r="W385" s="153" t="str">
        <f>IFERROR(I$10*I385,'!'!$GJ$15)</f>
        <v>N</v>
      </c>
      <c r="X385" s="153" t="str">
        <f>IFERROR(K$10*K385,'!'!$GJ$15)</f>
        <v>N</v>
      </c>
      <c r="Y385" s="153" t="str">
        <f>IFERROR(M$10*M385,'!'!$GJ$15)</f>
        <v>N</v>
      </c>
      <c r="Z385" s="153" t="str">
        <f>IFERROR(O$10*O386,'!'!$GJ$15)</f>
        <v>N</v>
      </c>
    </row>
    <row r="386" spans="1:26" x14ac:dyDescent="0.35">
      <c r="A386" s="4">
        <f t="shared" si="10"/>
        <v>362</v>
      </c>
      <c r="B386" s="286" t="str">
        <f>IFERROR(IF(Report!$D$4='!'!$HE$4,VLOOKUP(A386,Reference!$B$25:$H$390,2,FALSE),VLOOKUP(A386,Monitoring!$B$25:$H$390,2,FALSE)),'!'!$GJ$15)</f>
        <v>N</v>
      </c>
      <c r="C386" s="58" t="str">
        <f>Reference!A386</f>
        <v/>
      </c>
      <c r="D386" s="287" t="str">
        <f>IFERROR(IF(Report!$D$4='!'!$HE$4,VLOOKUP(A386,Reference!$B$25:$H$390,3,FALSE),VLOOKUP(A386,Monitoring!$B$25:$H$390,3,FALSE)),'!'!$GJ$15)</f>
        <v>N</v>
      </c>
      <c r="E386" s="285"/>
      <c r="F386" s="254"/>
      <c r="G386" s="151" t="str">
        <f>IF(D386='!'!$GJ$15,'!'!$GJ$15,(SUM(W386,X386,Y386,Z385,Q386)))</f>
        <v>N</v>
      </c>
      <c r="H386" s="51"/>
      <c r="I386" s="299" t="str">
        <f>IF($I$12="","",IFERROR(IF(Report!$D$4='!'!$HE$4,VLOOKUP(A386,Reference!$B$25:$H$390,4,FALSE),VLOOKUP(A386,Monitoring!$B$25:$H$390,4,FALSE)),""))</f>
        <v/>
      </c>
      <c r="J386" s="256"/>
      <c r="K386" s="299" t="str">
        <f>IF($K$12="","",IFERROR(IF(Report!$D$4='!'!$HE$4,VLOOKUP(A386,Reference!$B$25:$H$390,5,FALSE),VLOOKUP(A386,Monitoring!$B$25:$H$390,5,FALSE)),""))</f>
        <v/>
      </c>
      <c r="L386" s="256"/>
      <c r="M386" s="299" t="str">
        <f>IF($M$12="","",IFERROR(IF(Report!$D$4='!'!$HE$4,VLOOKUP(A386,Reference!$B$25:$H$390,6,FALSE),VLOOKUP(A386,Monitoring!$B$25:$H$390,6,FALSE)),""))</f>
        <v/>
      </c>
      <c r="N386" s="256"/>
      <c r="O386" s="299" t="str">
        <f>IF($O$12="","",IFERROR(IF(Report!$D$4='!'!$HE$4,VLOOKUP(A386,Reference!$B$25:$H$390,7,FALSE),VLOOKUP(A386,Monitoring!$B$25:$H$390,7,FALSE)),""))</f>
        <v/>
      </c>
      <c r="P386" s="51"/>
      <c r="Q386" s="151" t="str">
        <f>IF(B386='!'!$GJ$15,'!'!$GJ$15,$Q$12)</f>
        <v>N</v>
      </c>
      <c r="S386" s="4" t="str">
        <f>IFERROR(ABS(T386),'!'!$GJ$15)</f>
        <v>N</v>
      </c>
      <c r="T386" s="84" t="str">
        <f>IFERROR(+G386-D386,'!'!$GJ$15)</f>
        <v>N</v>
      </c>
      <c r="U386" s="64" t="str">
        <f t="shared" si="11"/>
        <v>N</v>
      </c>
      <c r="W386" s="153" t="str">
        <f>IFERROR(I$10*I386,'!'!$GJ$15)</f>
        <v>N</v>
      </c>
      <c r="X386" s="153" t="str">
        <f>IFERROR(K$10*K386,'!'!$GJ$15)</f>
        <v>N</v>
      </c>
      <c r="Y386" s="153" t="str">
        <f>IFERROR(M$10*M386,'!'!$GJ$15)</f>
        <v>N</v>
      </c>
      <c r="Z386" s="153" t="str">
        <f>IFERROR(O$10*O387,'!'!$GJ$15)</f>
        <v>N</v>
      </c>
    </row>
    <row r="387" spans="1:26" x14ac:dyDescent="0.35">
      <c r="A387" s="4">
        <f t="shared" si="10"/>
        <v>363</v>
      </c>
      <c r="B387" s="286" t="str">
        <f>IFERROR(IF(Report!$D$4='!'!$HE$4,VLOOKUP(A387,Reference!$B$25:$H$390,2,FALSE),VLOOKUP(A387,Monitoring!$B$25:$H$390,2,FALSE)),'!'!$GJ$15)</f>
        <v>N</v>
      </c>
      <c r="C387" s="58" t="str">
        <f>Reference!A387</f>
        <v/>
      </c>
      <c r="D387" s="287" t="str">
        <f>IFERROR(IF(Report!$D$4='!'!$HE$4,VLOOKUP(A387,Reference!$B$25:$H$390,3,FALSE),VLOOKUP(A387,Monitoring!$B$25:$H$390,3,FALSE)),'!'!$GJ$15)</f>
        <v>N</v>
      </c>
      <c r="E387" s="285"/>
      <c r="F387" s="254"/>
      <c r="G387" s="151" t="str">
        <f>IF(D387='!'!$GJ$15,'!'!$GJ$15,(SUM(W387,X387,Y387,Z386,Q387)))</f>
        <v>N</v>
      </c>
      <c r="H387" s="51"/>
      <c r="I387" s="299" t="str">
        <f>IF($I$12="","",IFERROR(IF(Report!$D$4='!'!$HE$4,VLOOKUP(A387,Reference!$B$25:$H$390,4,FALSE),VLOOKUP(A387,Monitoring!$B$25:$H$390,4,FALSE)),""))</f>
        <v/>
      </c>
      <c r="J387" s="256"/>
      <c r="K387" s="299" t="str">
        <f>IF($K$12="","",IFERROR(IF(Report!$D$4='!'!$HE$4,VLOOKUP(A387,Reference!$B$25:$H$390,5,FALSE),VLOOKUP(A387,Monitoring!$B$25:$H$390,5,FALSE)),""))</f>
        <v/>
      </c>
      <c r="L387" s="256"/>
      <c r="M387" s="299" t="str">
        <f>IF($M$12="","",IFERROR(IF(Report!$D$4='!'!$HE$4,VLOOKUP(A387,Reference!$B$25:$H$390,6,FALSE),VLOOKUP(A387,Monitoring!$B$25:$H$390,6,FALSE)),""))</f>
        <v/>
      </c>
      <c r="N387" s="256"/>
      <c r="O387" s="299" t="str">
        <f>IF($O$12="","",IFERROR(IF(Report!$D$4='!'!$HE$4,VLOOKUP(A387,Reference!$B$25:$H$390,7,FALSE),VLOOKUP(A387,Monitoring!$B$25:$H$390,7,FALSE)),""))</f>
        <v/>
      </c>
      <c r="P387" s="51"/>
      <c r="Q387" s="151" t="str">
        <f>IF(B387='!'!$GJ$15,'!'!$GJ$15,$Q$12)</f>
        <v>N</v>
      </c>
      <c r="S387" s="4" t="str">
        <f>IFERROR(ABS(T387),'!'!$GJ$15)</f>
        <v>N</v>
      </c>
      <c r="T387" s="84" t="str">
        <f>IFERROR(+G387-D387,'!'!$GJ$15)</f>
        <v>N</v>
      </c>
      <c r="U387" s="64" t="str">
        <f t="shared" si="11"/>
        <v>N</v>
      </c>
      <c r="W387" s="153" t="str">
        <f>IFERROR(I$10*I387,'!'!$GJ$15)</f>
        <v>N</v>
      </c>
      <c r="X387" s="153" t="str">
        <f>IFERROR(K$10*K387,'!'!$GJ$15)</f>
        <v>N</v>
      </c>
      <c r="Y387" s="153" t="str">
        <f>IFERROR(M$10*M387,'!'!$GJ$15)</f>
        <v>N</v>
      </c>
      <c r="Z387" s="153" t="str">
        <f>IFERROR(O$10*O388,'!'!$GJ$15)</f>
        <v>N</v>
      </c>
    </row>
    <row r="388" spans="1:26" x14ac:dyDescent="0.35">
      <c r="A388" s="4">
        <f t="shared" si="10"/>
        <v>364</v>
      </c>
      <c r="B388" s="286" t="str">
        <f>IFERROR(IF(Report!$D$4='!'!$HE$4,VLOOKUP(A388,Reference!$B$25:$H$390,2,FALSE),VLOOKUP(A388,Monitoring!$B$25:$H$390,2,FALSE)),'!'!$GJ$15)</f>
        <v>N</v>
      </c>
      <c r="C388" s="58" t="str">
        <f>Reference!A388</f>
        <v/>
      </c>
      <c r="D388" s="287" t="str">
        <f>IFERROR(IF(Report!$D$4='!'!$HE$4,VLOOKUP(A388,Reference!$B$25:$H$390,3,FALSE),VLOOKUP(A388,Monitoring!$B$25:$H$390,3,FALSE)),'!'!$GJ$15)</f>
        <v>N</v>
      </c>
      <c r="E388" s="285"/>
      <c r="F388" s="254"/>
      <c r="G388" s="151" t="str">
        <f>IF(D388='!'!$GJ$15,'!'!$GJ$15,(SUM(W388,X388,Y388,Z387,Q388)))</f>
        <v>N</v>
      </c>
      <c r="H388" s="51"/>
      <c r="I388" s="299" t="str">
        <f>IF($I$12="","",IFERROR(IF(Report!$D$4='!'!$HE$4,VLOOKUP(A388,Reference!$B$25:$H$390,4,FALSE),VLOOKUP(A388,Monitoring!$B$25:$H$390,4,FALSE)),""))</f>
        <v/>
      </c>
      <c r="J388" s="256"/>
      <c r="K388" s="299" t="str">
        <f>IF($K$12="","",IFERROR(IF(Report!$D$4='!'!$HE$4,VLOOKUP(A388,Reference!$B$25:$H$390,5,FALSE),VLOOKUP(A388,Monitoring!$B$25:$H$390,5,FALSE)),""))</f>
        <v/>
      </c>
      <c r="L388" s="256"/>
      <c r="M388" s="299" t="str">
        <f>IF($M$12="","",IFERROR(IF(Report!$D$4='!'!$HE$4,VLOOKUP(A388,Reference!$B$25:$H$390,6,FALSE),VLOOKUP(A388,Monitoring!$B$25:$H$390,6,FALSE)),""))</f>
        <v/>
      </c>
      <c r="N388" s="256"/>
      <c r="O388" s="299" t="str">
        <f>IF($O$12="","",IFERROR(IF(Report!$D$4='!'!$HE$4,VLOOKUP(A388,Reference!$B$25:$H$390,7,FALSE),VLOOKUP(A388,Monitoring!$B$25:$H$390,7,FALSE)),""))</f>
        <v/>
      </c>
      <c r="P388" s="51"/>
      <c r="Q388" s="151" t="str">
        <f>IF(B388='!'!$GJ$15,'!'!$GJ$15,$Q$12)</f>
        <v>N</v>
      </c>
      <c r="S388" s="4" t="str">
        <f>IFERROR(ABS(T388),'!'!$GJ$15)</f>
        <v>N</v>
      </c>
      <c r="T388" s="84" t="str">
        <f>IFERROR(+G388-D388,'!'!$GJ$15)</f>
        <v>N</v>
      </c>
      <c r="U388" s="64" t="str">
        <f t="shared" si="11"/>
        <v>N</v>
      </c>
      <c r="W388" s="153" t="str">
        <f>IFERROR(I$10*I388,'!'!$GJ$15)</f>
        <v>N</v>
      </c>
      <c r="X388" s="153" t="str">
        <f>IFERROR(K$10*K388,'!'!$GJ$15)</f>
        <v>N</v>
      </c>
      <c r="Y388" s="153" t="str">
        <f>IFERROR(M$10*M388,'!'!$GJ$15)</f>
        <v>N</v>
      </c>
      <c r="Z388" s="153" t="str">
        <f>IFERROR(O$10*O389,'!'!$GJ$15)</f>
        <v>N</v>
      </c>
    </row>
    <row r="389" spans="1:26" ht="15" thickBot="1" x14ac:dyDescent="0.4">
      <c r="A389" s="4">
        <f t="shared" si="10"/>
        <v>365</v>
      </c>
      <c r="B389" s="286" t="str">
        <f>IFERROR(IF(Report!$D$4='!'!$HE$4,VLOOKUP(A389,Reference!$B$25:$H$390,2,FALSE),VLOOKUP(A389,Monitoring!$B$25:$H$390,2,FALSE)),'!'!$GJ$15)</f>
        <v>N</v>
      </c>
      <c r="C389" s="58" t="str">
        <f>Reference!A389</f>
        <v/>
      </c>
      <c r="D389" s="287" t="str">
        <f>IFERROR(IF(Report!$D$4='!'!$HE$4,VLOOKUP(A389,Reference!$B$25:$H$390,3,FALSE),VLOOKUP(A389,Monitoring!$B$25:$H$390,3,FALSE)),'!'!$GJ$15)</f>
        <v>N</v>
      </c>
      <c r="E389" s="285"/>
      <c r="F389" s="254"/>
      <c r="G389" s="151" t="str">
        <f>IF(D389='!'!$GJ$15,'!'!$GJ$15,(SUM(W389,X389,Y389,Z388,Q389)))</f>
        <v>N</v>
      </c>
      <c r="H389" s="51"/>
      <c r="I389" s="299" t="str">
        <f>IF($I$12="","",IFERROR(IF(Report!$D$4='!'!$HE$4,VLOOKUP(A389,Reference!$B$25:$H$390,4,FALSE),VLOOKUP(A389,Monitoring!$B$25:$H$390,4,FALSE)),""))</f>
        <v/>
      </c>
      <c r="J389" s="256"/>
      <c r="K389" s="299" t="str">
        <f>IF($K$12="","",IFERROR(IF(Report!$D$4='!'!$HE$4,VLOOKUP(A389,Reference!$B$25:$H$390,5,FALSE),VLOOKUP(A389,Monitoring!$B$25:$H$390,5,FALSE)),""))</f>
        <v/>
      </c>
      <c r="L389" s="256"/>
      <c r="M389" s="299" t="str">
        <f>IF($M$12="","",IFERROR(IF(Report!$D$4='!'!$HE$4,VLOOKUP(A389,Reference!$B$25:$H$390,6,FALSE),VLOOKUP(A389,Monitoring!$B$25:$H$390,6,FALSE)),""))</f>
        <v/>
      </c>
      <c r="N389" s="256"/>
      <c r="O389" s="299" t="str">
        <f>IF($O$12="","",IFERROR(IF(Report!$D$4='!'!$HE$4,VLOOKUP(A389,Reference!$B$25:$H$390,7,FALSE),VLOOKUP(A389,Monitoring!$B$25:$H$390,7,FALSE)),""))</f>
        <v/>
      </c>
      <c r="P389" s="51"/>
      <c r="Q389" s="151" t="str">
        <f>IF(B389='!'!$GJ$15,'!'!$GJ$15,$Q$12)</f>
        <v>N</v>
      </c>
      <c r="S389" s="4" t="str">
        <f>IFERROR(ABS(T389),'!'!$GJ$15)</f>
        <v>N</v>
      </c>
      <c r="T389" s="84" t="str">
        <f>IFERROR(+G389-D389,'!'!$GJ$15)</f>
        <v>N</v>
      </c>
      <c r="U389" s="64" t="str">
        <f t="shared" si="11"/>
        <v>N</v>
      </c>
      <c r="W389" s="153" t="str">
        <f>IFERROR(I$10*I389,'!'!$GJ$15)</f>
        <v>N</v>
      </c>
      <c r="X389" s="153" t="str">
        <f>IFERROR(K$10*K389,'!'!$GJ$15)</f>
        <v>N</v>
      </c>
      <c r="Y389" s="153" t="str">
        <f>IFERROR(M$10*M389,'!'!$GJ$15)</f>
        <v>N</v>
      </c>
      <c r="Z389" s="154" t="str">
        <f>IFERROR(O$10*O390,'!'!$GJ$15)</f>
        <v>N</v>
      </c>
    </row>
    <row r="390" spans="1:26" ht="15" thickBot="1" x14ac:dyDescent="0.4">
      <c r="A390" s="4">
        <f t="shared" si="10"/>
        <v>366</v>
      </c>
      <c r="B390" s="286" t="str">
        <f>IFERROR(IF(Report!$D$4='!'!$HE$4,VLOOKUP(A390,Reference!$B$25:$H$390,2,FALSE),VLOOKUP(A390,Monitoring!$B$25:$H$390,2,FALSE)),'!'!$GJ$15)</f>
        <v>N</v>
      </c>
      <c r="C390" s="58" t="str">
        <f>Reference!A390</f>
        <v/>
      </c>
      <c r="D390" s="287" t="str">
        <f>IFERROR(IF(Report!$D$4='!'!$HE$4,VLOOKUP(A390,Reference!$B$25:$H$390,3,FALSE),VLOOKUP(A390,Monitoring!$B$25:$H$390,3,FALSE)),'!'!$GJ$15)</f>
        <v>N</v>
      </c>
      <c r="E390" s="285"/>
      <c r="F390" s="254"/>
      <c r="G390" s="152" t="str">
        <f>IF(D390='!'!$GJ$15,'!'!$GJ$15,(SUM(W390,X390,Y390,Z389,Q390)))</f>
        <v>N</v>
      </c>
      <c r="H390" s="51"/>
      <c r="I390" s="299" t="str">
        <f>IF($I$12="","",IFERROR(IF(Report!$D$4='!'!$HE$4,VLOOKUP(A390,Reference!$B$25:$H$390,4,FALSE),VLOOKUP(A390,Monitoring!$B$25:$H$390,4,FALSE)),""))</f>
        <v/>
      </c>
      <c r="J390" s="256"/>
      <c r="K390" s="299" t="str">
        <f>IF($K$12="","",IFERROR(IF(Report!$D$4='!'!$HE$4,VLOOKUP(A390,Reference!$B$25:$H$390,5,FALSE),VLOOKUP(A390,Monitoring!$B$25:$H$390,5,FALSE)),""))</f>
        <v/>
      </c>
      <c r="L390" s="256"/>
      <c r="M390" s="299" t="str">
        <f>IF($M$12="","",IFERROR(IF(Report!$D$4='!'!$HE$4,VLOOKUP(A390,Reference!$B$25:$H$390,6,FALSE),VLOOKUP(A390,Monitoring!$B$25:$H$390,6,FALSE)),""))</f>
        <v/>
      </c>
      <c r="N390" s="256"/>
      <c r="O390" s="299" t="str">
        <f>IF($O$12="","",IFERROR(IF(Report!$D$4='!'!$HE$4,VLOOKUP(A390,Reference!$B$25:$H$390,7,FALSE),VLOOKUP(A390,Monitoring!$B$25:$H$390,7,FALSE)),""))</f>
        <v/>
      </c>
      <c r="P390" s="51"/>
      <c r="Q390" s="152" t="str">
        <f>IF(B390='!'!$GJ$15,'!'!$GJ$15,$Q$12)</f>
        <v>N</v>
      </c>
      <c r="S390" s="4" t="str">
        <f>IFERROR(ABS(T390),'!'!$GJ$15)</f>
        <v>N</v>
      </c>
      <c r="T390" s="84" t="str">
        <f>IFERROR(+G390-D390,'!'!$GJ$15)</f>
        <v>N</v>
      </c>
      <c r="U390" s="64" t="str">
        <f t="shared" si="11"/>
        <v>N</v>
      </c>
      <c r="W390" s="154" t="str">
        <f>IFERROR(I$10*I390,'!'!$GJ$15)</f>
        <v>N</v>
      </c>
      <c r="X390" s="154" t="str">
        <f>IFERROR(K$10*K390,'!'!$GJ$15)</f>
        <v>N</v>
      </c>
      <c r="Y390" s="154" t="str">
        <f>IFERROR(M$10*M390,'!'!$GJ$15)</f>
        <v>N</v>
      </c>
    </row>
  </sheetData>
  <sheetProtection algorithmName="SHA-512" hashValue="o8G0pF5BXFtqzK7zo0aVl7gTj0xWu2PGDHOnLqPjtl6ZYm0QMRHi4iR2uyDRmew4Xr/bPNWX63zwdkHCvlImAg==" saltValue="rtCIQc3WW5HSZE5W9ETnCg==" spinCount="100000" sheet="1" formatCells="0" formatColumns="0" formatRows="0"/>
  <mergeCells count="17">
    <mergeCell ref="I18:I19"/>
    <mergeCell ref="G12:G17"/>
    <mergeCell ref="D12:D17"/>
    <mergeCell ref="B22:G22"/>
    <mergeCell ref="Q18:Q19"/>
    <mergeCell ref="I12:I17"/>
    <mergeCell ref="D18:D19"/>
    <mergeCell ref="G18:G19"/>
    <mergeCell ref="L11:M11"/>
    <mergeCell ref="N11:O11"/>
    <mergeCell ref="Q16:Q17"/>
    <mergeCell ref="K18:K19"/>
    <mergeCell ref="M18:M19"/>
    <mergeCell ref="O18:O19"/>
    <mergeCell ref="O12:O17"/>
    <mergeCell ref="M12:M17"/>
    <mergeCell ref="K12:K17"/>
  </mergeCells>
  <dataValidations disablePrompts="1" count="2">
    <dataValidation type="list" allowBlank="1" showInputMessage="1" showErrorMessage="1" sqref="T18:U18 T14:T15 U13:U15 W13:W15" xr:uid="{00000000-0002-0000-0B00-000000000000}">
      <formula1>$T$16:$T$16</formula1>
    </dataValidation>
    <dataValidation type="list" allowBlank="1" showInputMessage="1" showErrorMessage="1" sqref="T13" xr:uid="{00000000-0002-0000-0B00-000001000000}">
      <formula1>$W25:$W$390</formula1>
    </dataValidation>
  </dataValidations>
  <pageMargins left="0.7" right="0.7" top="0.78740157499999996" bottom="0.78740157499999996"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dimension ref="B3:B4"/>
  <sheetViews>
    <sheetView workbookViewId="0">
      <selection activeCell="B5" sqref="B5"/>
    </sheetView>
  </sheetViews>
  <sheetFormatPr baseColWidth="10" defaultColWidth="11.453125" defaultRowHeight="14.5" x14ac:dyDescent="0.35"/>
  <sheetData>
    <row r="3" spans="2:2" x14ac:dyDescent="0.35">
      <c r="B3" t="s">
        <v>62</v>
      </c>
    </row>
    <row r="4" spans="2:2" x14ac:dyDescent="0.35">
      <c r="B4" t="s">
        <v>88</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3"/>
  <dimension ref="A1:F148"/>
  <sheetViews>
    <sheetView tabSelected="1" topLeftCell="B85" zoomScale="80" zoomScaleNormal="80" workbookViewId="0">
      <selection activeCell="E2" sqref="E2:E103"/>
    </sheetView>
  </sheetViews>
  <sheetFormatPr baseColWidth="10" defaultColWidth="11.453125" defaultRowHeight="14.5" x14ac:dyDescent="0.35"/>
  <cols>
    <col min="1" max="1" width="73.54296875" style="14" hidden="1" customWidth="1"/>
    <col min="2" max="6" width="63.1796875" style="14" customWidth="1"/>
    <col min="7" max="16384" width="11.453125" style="14"/>
  </cols>
  <sheetData>
    <row r="1" spans="1:6" ht="16" thickBot="1" x14ac:dyDescent="0.4">
      <c r="A1" s="310" t="s">
        <v>201</v>
      </c>
      <c r="B1" s="311" t="s">
        <v>189</v>
      </c>
      <c r="C1" s="312" t="s">
        <v>214</v>
      </c>
      <c r="D1" s="311" t="s">
        <v>284</v>
      </c>
      <c r="E1" s="311" t="s">
        <v>285</v>
      </c>
      <c r="F1" s="313" t="s">
        <v>286</v>
      </c>
    </row>
    <row r="2" spans="1:6" x14ac:dyDescent="0.35">
      <c r="A2" s="318" t="str">
        <f>IF('Basic Settings'!$B$7='Translation Table (internal)'!$B$1,'Translation Table (internal)'!B2,IF('Basic Settings'!$B$7='Translation Table (internal)'!$C$1,'Translation Table (internal)'!C2,IF('Basic Settings'!$B$7='Translation Table (internal)'!$D$1,'Translation Table (internal)'!D2,IF('Basic Settings'!$B$7='Translation Table (internal)'!$E$1,'Translation Table (internal)'!E2,IF('Basic Settings'!$B$7='Translation Table (internal)'!$F$1,'Translation Table (internal)'!F2,'Translation Table (internal)'!B2)))))</f>
        <v>Select Language</v>
      </c>
      <c r="B2" s="318" t="s">
        <v>283</v>
      </c>
      <c r="C2" s="314" t="s">
        <v>282</v>
      </c>
      <c r="D2" s="314" t="s">
        <v>431</v>
      </c>
      <c r="E2" s="608" t="s">
        <v>535</v>
      </c>
      <c r="F2" s="314" t="s">
        <v>339</v>
      </c>
    </row>
    <row r="3" spans="1:6" x14ac:dyDescent="0.35">
      <c r="A3" s="318" t="str">
        <f>IF('Basic Settings'!$B$7='Translation Table (internal)'!$B$1,'Translation Table (internal)'!B3,IF('Basic Settings'!$B$7='Translation Table (internal)'!$C$1,'Translation Table (internal)'!C3,IF('Basic Settings'!$B$7='Translation Table (internal)'!$D$1,'Translation Table (internal)'!D3,IF('Basic Settings'!$B$7='Translation Table (internal)'!$E$1,'Translation Table (internal)'!E3,IF('Basic Settings'!$B$7='Translation Table (internal)'!$F$1,'Translation Table (internal)'!F3,'Translation Table (internal)'!B3)))))</f>
        <v>Energy Target Tracker</v>
      </c>
      <c r="B3" s="318" t="s">
        <v>308</v>
      </c>
      <c r="C3" s="314" t="s">
        <v>309</v>
      </c>
      <c r="D3" s="314" t="s">
        <v>432</v>
      </c>
      <c r="E3" s="608" t="s">
        <v>536</v>
      </c>
      <c r="F3" s="314" t="s">
        <v>341</v>
      </c>
    </row>
    <row r="4" spans="1:6" x14ac:dyDescent="0.35">
      <c r="A4" s="318" t="str">
        <f>IF('Basic Settings'!$B$7='Translation Table (internal)'!$B$1,'Translation Table (internal)'!B4,IF('Basic Settings'!$B$7='Translation Table (internal)'!$C$1,'Translation Table (internal)'!C4,IF('Basic Settings'!$B$7='Translation Table (internal)'!$D$1,'Translation Table (internal)'!D4,IF('Basic Settings'!$B$7='Translation Table (internal)'!$E$1,'Translation Table (internal)'!E4,IF('Basic Settings'!$B$7='Translation Table (internal)'!$F$1,'Translation Table (internal)'!F4,'Translation Table (internal)'!B4)))))</f>
        <v>Name of the System to be monitored</v>
      </c>
      <c r="B4" s="401" t="s">
        <v>276</v>
      </c>
      <c r="C4" s="314" t="s">
        <v>279</v>
      </c>
      <c r="D4" s="314" t="s">
        <v>433</v>
      </c>
      <c r="E4" s="608" t="s">
        <v>537</v>
      </c>
      <c r="F4" s="314" t="s">
        <v>340</v>
      </c>
    </row>
    <row r="5" spans="1:6" x14ac:dyDescent="0.35">
      <c r="A5" s="318" t="str">
        <f>IF('Basic Settings'!$B$7='Translation Table (internal)'!$B$1,'Translation Table (internal)'!B5,IF('Basic Settings'!$B$7='Translation Table (internal)'!$C$1,'Translation Table (internal)'!C5,IF('Basic Settings'!$B$7='Translation Table (internal)'!$D$1,'Translation Table (internal)'!D5,IF('Basic Settings'!$B$7='Translation Table (internal)'!$E$1,'Translation Table (internal)'!E5,IF('Basic Settings'!$B$7='Translation Table (internal)'!$F$1,'Translation Table (internal)'!F5,'Translation Table (internal)'!B5)))))</f>
        <v>Energy Savings target in comparison to Reference Situation</v>
      </c>
      <c r="B5" s="401" t="s">
        <v>277</v>
      </c>
      <c r="C5" s="314" t="s">
        <v>280</v>
      </c>
      <c r="D5" s="314" t="s">
        <v>434</v>
      </c>
      <c r="E5" s="608" t="s">
        <v>538</v>
      </c>
      <c r="F5" s="314" t="s">
        <v>342</v>
      </c>
    </row>
    <row r="6" spans="1:6" x14ac:dyDescent="0.35">
      <c r="A6" s="318" t="str">
        <f>IF('Basic Settings'!$B$7='Translation Table (internal)'!$B$1,'Translation Table (internal)'!B6,IF('Basic Settings'!$B$7='Translation Table (internal)'!$C$1,'Translation Table (internal)'!C6,IF('Basic Settings'!$B$7='Translation Table (internal)'!$D$1,'Translation Table (internal)'!D6,IF('Basic Settings'!$B$7='Translation Table (internal)'!$E$1,'Translation Table (internal)'!E6,IF('Basic Settings'!$B$7='Translation Table (internal)'!$F$1,'Translation Table (internal)'!F6,'Translation Table (internal)'!B6)))))</f>
        <v>People Responsible for achievement of that Target</v>
      </c>
      <c r="B6" s="401" t="s">
        <v>278</v>
      </c>
      <c r="C6" s="314" t="s">
        <v>281</v>
      </c>
      <c r="D6" s="314" t="s">
        <v>435</v>
      </c>
      <c r="E6" s="608" t="s">
        <v>539</v>
      </c>
      <c r="F6" s="314" t="s">
        <v>343</v>
      </c>
    </row>
    <row r="7" spans="1:6" x14ac:dyDescent="0.35">
      <c r="A7" s="318" t="str">
        <f>IF('Basic Settings'!$B$7='Translation Table (internal)'!$B$1,'Translation Table (internal)'!B7,IF('Basic Settings'!$B$7='Translation Table (internal)'!$C$1,'Translation Table (internal)'!C7,IF('Basic Settings'!$B$7='Translation Table (internal)'!$D$1,'Translation Table (internal)'!D7,IF('Basic Settings'!$B$7='Translation Table (internal)'!$E$1,'Translation Table (internal)'!E7,IF('Basic Settings'!$B$7='Translation Table (internal)'!$F$1,'Translation Table (internal)'!F7,'Translation Table (internal)'!B7)))))</f>
        <v>Questions? Contact Author:</v>
      </c>
      <c r="B7" s="318" t="s">
        <v>299</v>
      </c>
      <c r="C7" s="314" t="s">
        <v>300</v>
      </c>
      <c r="D7" s="314" t="s">
        <v>436</v>
      </c>
      <c r="E7" s="608" t="s">
        <v>540</v>
      </c>
      <c r="F7" s="314" t="s">
        <v>344</v>
      </c>
    </row>
    <row r="8" spans="1:6" x14ac:dyDescent="0.35">
      <c r="A8" s="318" t="str">
        <f>IF('Basic Settings'!$B$7='Translation Table (internal)'!$B$1,'Translation Table (internal)'!B8,IF('Basic Settings'!$B$7='Translation Table (internal)'!$C$1,'Translation Table (internal)'!C8,IF('Basic Settings'!$B$7='Translation Table (internal)'!$D$1,'Translation Table (internal)'!D8,IF('Basic Settings'!$B$7='Translation Table (internal)'!$E$1,'Translation Table (internal)'!E8,IF('Basic Settings'!$B$7='Translation Table (internal)'!$F$1,'Translation Table (internal)'!F8,'Translation Table (internal)'!B8)))))</f>
        <v>Presettings for Calculation:</v>
      </c>
      <c r="B8" s="401" t="s">
        <v>322</v>
      </c>
      <c r="C8" s="314" t="s">
        <v>325</v>
      </c>
      <c r="D8" s="314" t="s">
        <v>437</v>
      </c>
      <c r="E8" s="608" t="s">
        <v>541</v>
      </c>
      <c r="F8" s="314" t="s">
        <v>345</v>
      </c>
    </row>
    <row r="9" spans="1:6" x14ac:dyDescent="0.35">
      <c r="A9" s="318" t="str">
        <f>IF('Basic Settings'!$B$7='Translation Table (internal)'!$B$1,'Translation Table (internal)'!B9,IF('Basic Settings'!$B$7='Translation Table (internal)'!$C$1,'Translation Table (internal)'!C9,IF('Basic Settings'!$B$7='Translation Table (internal)'!$D$1,'Translation Table (internal)'!D9,IF('Basic Settings'!$B$7='Translation Table (internal)'!$E$1,'Translation Table (internal)'!E9,IF('Basic Settings'!$B$7='Translation Table (internal)'!$F$1,'Translation Table (internal)'!F9,'Translation Table (internal)'!B9)))))</f>
        <v>Activate Data Analysis Toolkit in Excel:</v>
      </c>
      <c r="B9" s="318" t="s">
        <v>323</v>
      </c>
      <c r="C9" s="314" t="s">
        <v>326</v>
      </c>
      <c r="D9" s="314" t="s">
        <v>438</v>
      </c>
      <c r="E9" s="608" t="s">
        <v>542</v>
      </c>
      <c r="F9" s="314" t="s">
        <v>346</v>
      </c>
    </row>
    <row r="10" spans="1:6" x14ac:dyDescent="0.35">
      <c r="A10" s="318"/>
      <c r="B10" s="318"/>
      <c r="C10" s="314"/>
      <c r="D10" s="314"/>
      <c r="E10" s="608"/>
      <c r="F10" s="314"/>
    </row>
    <row r="11" spans="1:6" x14ac:dyDescent="0.35">
      <c r="A11" s="318" t="str">
        <f>IF('Basic Settings'!$B$7='Translation Table (internal)'!$B$1,'Translation Table (internal)'!B11,IF('Basic Settings'!$B$7='Translation Table (internal)'!$C$1,'Translation Table (internal)'!C11,IF('Basic Settings'!$B$7='Translation Table (internal)'!$D$1,'Translation Table (internal)'!D11,IF('Basic Settings'!$B$7='Translation Table (internal)'!$E$1,'Translation Table (internal)'!E11,IF('Basic Settings'!$B$7='Translation Table (internal)'!$F$1,'Translation Table (internal)'!F11,'Translation Table (internal)'!B11)))))</f>
        <v>Enter Data for Reference Situation</v>
      </c>
      <c r="B11" s="318" t="s">
        <v>310</v>
      </c>
      <c r="C11" s="314" t="s">
        <v>311</v>
      </c>
      <c r="D11" s="314" t="s">
        <v>520</v>
      </c>
      <c r="E11" s="608" t="s">
        <v>543</v>
      </c>
      <c r="F11" s="314" t="s">
        <v>347</v>
      </c>
    </row>
    <row r="12" spans="1:6" ht="29" x14ac:dyDescent="0.35">
      <c r="A12" s="318" t="str">
        <f>IF('Basic Settings'!$B$7='Translation Table (internal)'!$B$1,'Translation Table (internal)'!B12,IF('Basic Settings'!$B$7='Translation Table (internal)'!$C$1,'Translation Table (internal)'!C12,IF('Basic Settings'!$B$7='Translation Table (internal)'!$D$1,'Translation Table (internal)'!D12,IF('Basic Settings'!$B$7='Translation Table (internal)'!$E$1,'Translation Table (internal)'!E12,IF('Basic Settings'!$B$7='Translation Table (internal)'!$F$1,'Translation Table (internal)'!F12,'Translation Table (internal)'!B12)))))</f>
        <v>Don´t move or cut and paste cells. This would destroy the tool. Instead: Copy, paste and delete</v>
      </c>
      <c r="B12" s="318" t="s">
        <v>273</v>
      </c>
      <c r="C12" s="314" t="s">
        <v>274</v>
      </c>
      <c r="D12" s="314" t="s">
        <v>439</v>
      </c>
      <c r="E12" s="609" t="s">
        <v>544</v>
      </c>
      <c r="F12" s="395" t="s">
        <v>348</v>
      </c>
    </row>
    <row r="13" spans="1:6" x14ac:dyDescent="0.35">
      <c r="A13" s="318" t="str">
        <f>IF('Basic Settings'!$B$7='Translation Table (internal)'!$B$1,'Translation Table (internal)'!B13,IF('Basic Settings'!$B$7='Translation Table (internal)'!$C$1,'Translation Table (internal)'!C13,IF('Basic Settings'!$B$7='Translation Table (internal)'!$D$1,'Translation Table (internal)'!D13,IF('Basic Settings'!$B$7='Translation Table (internal)'!$E$1,'Translation Table (internal)'!E13,IF('Basic Settings'!$B$7='Translation Table (internal)'!$F$1,'Translation Table (internal)'!F13,'Translation Table (internal)'!B13)))))</f>
        <v>Enter Data and Basic Settings</v>
      </c>
      <c r="B13" s="318" t="s">
        <v>215</v>
      </c>
      <c r="C13" s="314" t="s">
        <v>60</v>
      </c>
      <c r="D13" s="314" t="s">
        <v>440</v>
      </c>
      <c r="E13" s="608" t="s">
        <v>545</v>
      </c>
      <c r="F13" s="314" t="s">
        <v>349</v>
      </c>
    </row>
    <row r="14" spans="1:6" x14ac:dyDescent="0.35">
      <c r="A14" s="318" t="str">
        <f>IF('Basic Settings'!$B$7='Translation Table (internal)'!$B$1,'Translation Table (internal)'!B14,IF('Basic Settings'!$B$7='Translation Table (internal)'!$C$1,'Translation Table (internal)'!C14,IF('Basic Settings'!$B$7='Translation Table (internal)'!$D$1,'Translation Table (internal)'!D14,IF('Basic Settings'!$B$7='Translation Table (internal)'!$E$1,'Translation Table (internal)'!E14,IF('Basic Settings'!$B$7='Translation Table (internal)'!$F$1,'Translation Table (internal)'!F14,'Translation Table (internal)'!B14)))))</f>
        <v>Periods (must be entered as dates)</v>
      </c>
      <c r="B14" s="318" t="s">
        <v>533</v>
      </c>
      <c r="C14" s="314" t="s">
        <v>534</v>
      </c>
      <c r="D14" s="314" t="s">
        <v>441</v>
      </c>
      <c r="E14" s="608" t="s">
        <v>546</v>
      </c>
      <c r="F14" s="314" t="s">
        <v>350</v>
      </c>
    </row>
    <row r="15" spans="1:6" x14ac:dyDescent="0.35">
      <c r="A15" s="318" t="str">
        <f>IF('Basic Settings'!$B$7='Translation Table (internal)'!$B$1,'Translation Table (internal)'!B15,IF('Basic Settings'!$B$7='Translation Table (internal)'!$C$1,'Translation Table (internal)'!C15,IF('Basic Settings'!$B$7='Translation Table (internal)'!$D$1,'Translation Table (internal)'!D15,IF('Basic Settings'!$B$7='Translation Table (internal)'!$E$1,'Translation Table (internal)'!E15,IF('Basic Settings'!$B$7='Translation Table (internal)'!$F$1,'Translation Table (internal)'!F15,'Translation Table (internal)'!B15)))))</f>
        <v>Timeframe from Measurement</v>
      </c>
      <c r="B15" s="318" t="s">
        <v>216</v>
      </c>
      <c r="C15" s="314" t="s">
        <v>173</v>
      </c>
      <c r="D15" s="314" t="s">
        <v>442</v>
      </c>
      <c r="E15" s="608" t="s">
        <v>547</v>
      </c>
      <c r="F15" s="314" t="s">
        <v>351</v>
      </c>
    </row>
    <row r="16" spans="1:6" x14ac:dyDescent="0.35">
      <c r="A16" s="318" t="str">
        <f>IF('Basic Settings'!$B$7='Translation Table (internal)'!$B$1,'Translation Table (internal)'!B16,IF('Basic Settings'!$B$7='Translation Table (internal)'!$C$1,'Translation Table (internal)'!C16,IF('Basic Settings'!$B$7='Translation Table (internal)'!$D$1,'Translation Table (internal)'!D16,IF('Basic Settings'!$B$7='Translation Table (internal)'!$E$1,'Translation Table (internal)'!E16,IF('Basic Settings'!$B$7='Translation Table (internal)'!$F$1,'Translation Table (internal)'!F16,'Translation Table (internal)'!B16)))))</f>
        <v>Baseline from</v>
      </c>
      <c r="B16" s="318" t="s">
        <v>217</v>
      </c>
      <c r="C16" s="314" t="s">
        <v>204</v>
      </c>
      <c r="D16" s="314" t="s">
        <v>443</v>
      </c>
      <c r="E16" s="608" t="s">
        <v>548</v>
      </c>
      <c r="F16" s="314" t="s">
        <v>353</v>
      </c>
    </row>
    <row r="17" spans="1:6" x14ac:dyDescent="0.35">
      <c r="A17" s="318" t="str">
        <f>IF('Basic Settings'!$B$7='Translation Table (internal)'!$B$1,'Translation Table (internal)'!B17,IF('Basic Settings'!$B$7='Translation Table (internal)'!$C$1,'Translation Table (internal)'!C17,IF('Basic Settings'!$B$7='Translation Table (internal)'!$D$1,'Translation Table (internal)'!D17,IF('Basic Settings'!$B$7='Translation Table (internal)'!$E$1,'Translation Table (internal)'!E17,IF('Basic Settings'!$B$7='Translation Table (internal)'!$F$1,'Translation Table (internal)'!F17,'Translation Table (internal)'!B17)))))</f>
        <v>to end of</v>
      </c>
      <c r="B17" s="318" t="s">
        <v>532</v>
      </c>
      <c r="C17" s="314" t="s">
        <v>89</v>
      </c>
      <c r="D17" s="314" t="s">
        <v>444</v>
      </c>
      <c r="E17" s="608" t="s">
        <v>549</v>
      </c>
      <c r="F17" s="314" t="s">
        <v>352</v>
      </c>
    </row>
    <row r="18" spans="1:6" x14ac:dyDescent="0.35">
      <c r="A18" s="318" t="str">
        <f>IF('Basic Settings'!$B$7='Translation Table (internal)'!$B$1,'Translation Table (internal)'!B18,IF('Basic Settings'!$B$7='Translation Table (internal)'!$C$1,'Translation Table (internal)'!C18,IF('Basic Settings'!$B$7='Translation Table (internal)'!$D$1,'Translation Table (internal)'!D18,IF('Basic Settings'!$B$7='Translation Table (internal)'!$E$1,'Translation Table (internal)'!E18,IF('Basic Settings'!$B$7='Translation Table (internal)'!$F$1,'Translation Table (internal)'!F18,'Translation Table (internal)'!B18)))))</f>
        <v>Effort</v>
      </c>
      <c r="B18" s="318" t="s">
        <v>218</v>
      </c>
      <c r="C18" s="314" t="s">
        <v>191</v>
      </c>
      <c r="D18" s="314" t="s">
        <v>521</v>
      </c>
      <c r="E18" s="608" t="s">
        <v>218</v>
      </c>
      <c r="F18" s="314" t="s">
        <v>354</v>
      </c>
    </row>
    <row r="19" spans="1:6" x14ac:dyDescent="0.35">
      <c r="A19" s="318" t="str">
        <f>IF('Basic Settings'!$B$7='Translation Table (internal)'!$B$1,'Translation Table (internal)'!B19,IF('Basic Settings'!$B$7='Translation Table (internal)'!$C$1,'Translation Table (internal)'!C19,IF('Basic Settings'!$B$7='Translation Table (internal)'!$D$1,'Translation Table (internal)'!D19,IF('Basic Settings'!$B$7='Translation Table (internal)'!$E$1,'Translation Table (internal)'!E19,IF('Basic Settings'!$B$7='Translation Table (internal)'!$F$1,'Translation Table (internal)'!F19,'Translation Table (internal)'!B19)))))</f>
        <v>(Energy Input)</v>
      </c>
      <c r="B19" s="318" t="s">
        <v>219</v>
      </c>
      <c r="C19" s="314" t="s">
        <v>205</v>
      </c>
      <c r="D19" s="314" t="s">
        <v>445</v>
      </c>
      <c r="E19" s="608" t="s">
        <v>550</v>
      </c>
      <c r="F19" s="314" t="s">
        <v>355</v>
      </c>
    </row>
    <row r="20" spans="1:6" x14ac:dyDescent="0.35">
      <c r="A20" s="318" t="str">
        <f>IF('Basic Settings'!$B$7='Translation Table (internal)'!$B$1,'Translation Table (internal)'!B20,IF('Basic Settings'!$B$7='Translation Table (internal)'!$C$1,'Translation Table (internal)'!C20,IF('Basic Settings'!$B$7='Translation Table (internal)'!$D$1,'Translation Table (internal)'!D20,IF('Basic Settings'!$B$7='Translation Table (internal)'!$E$1,'Translation Table (internal)'!E20,IF('Basic Settings'!$B$7='Translation Table (internal)'!$F$1,'Translation Table (internal)'!F20,'Translation Table (internal)'!B20)))))</f>
        <v>Name</v>
      </c>
      <c r="B20" s="318" t="s">
        <v>118</v>
      </c>
      <c r="C20" s="314" t="s">
        <v>118</v>
      </c>
      <c r="D20" s="314" t="s">
        <v>446</v>
      </c>
      <c r="E20" s="608" t="s">
        <v>551</v>
      </c>
      <c r="F20" s="314" t="s">
        <v>356</v>
      </c>
    </row>
    <row r="21" spans="1:6" x14ac:dyDescent="0.35">
      <c r="A21" s="318" t="str">
        <f>IF('Basic Settings'!$B$7='Translation Table (internal)'!$B$1,'Translation Table (internal)'!B21,IF('Basic Settings'!$B$7='Translation Table (internal)'!$C$1,'Translation Table (internal)'!C21,IF('Basic Settings'!$B$7='Translation Table (internal)'!$D$1,'Translation Table (internal)'!D21,IF('Basic Settings'!$B$7='Translation Table (internal)'!$E$1,'Translation Table (internal)'!E21,IF('Basic Settings'!$B$7='Translation Table (internal)'!$F$1,'Translation Table (internal)'!F21,'Translation Table (internal)'!B21)))))</f>
        <v>Unit</v>
      </c>
      <c r="B21" s="318" t="s">
        <v>220</v>
      </c>
      <c r="C21" s="314" t="s">
        <v>119</v>
      </c>
      <c r="D21" s="314" t="s">
        <v>447</v>
      </c>
      <c r="E21" s="608" t="s">
        <v>552</v>
      </c>
      <c r="F21" s="314" t="s">
        <v>357</v>
      </c>
    </row>
    <row r="22" spans="1:6" x14ac:dyDescent="0.35">
      <c r="A22" s="318" t="str">
        <f>IF('Basic Settings'!$B$7='Translation Table (internal)'!$B$1,'Translation Table (internal)'!B22,IF('Basic Settings'!$B$7='Translation Table (internal)'!$C$1,'Translation Table (internal)'!C22,IF('Basic Settings'!$B$7='Translation Table (internal)'!$D$1,'Translation Table (internal)'!D22,IF('Basic Settings'!$B$7='Translation Table (internal)'!$E$1,'Translation Table (internal)'!E22,IF('Basic Settings'!$B$7='Translation Table (internal)'!$F$1,'Translation Table (internal)'!F22,'Translation Table (internal)'!B22)))))</f>
        <v>Benefit</v>
      </c>
      <c r="B22" s="318" t="s">
        <v>221</v>
      </c>
      <c r="C22" s="314" t="s">
        <v>190</v>
      </c>
      <c r="D22" s="314" t="s">
        <v>522</v>
      </c>
      <c r="E22" s="608" t="s">
        <v>553</v>
      </c>
      <c r="F22" s="314" t="s">
        <v>358</v>
      </c>
    </row>
    <row r="23" spans="1:6" x14ac:dyDescent="0.35">
      <c r="A23" s="318" t="str">
        <f>IF('Basic Settings'!$B$7='Translation Table (internal)'!$B$1,'Translation Table (internal)'!B23,IF('Basic Settings'!$B$7='Translation Table (internal)'!$C$1,'Translation Table (internal)'!C23,IF('Basic Settings'!$B$7='Translation Table (internal)'!$D$1,'Translation Table (internal)'!D23,IF('Basic Settings'!$B$7='Translation Table (internal)'!$E$1,'Translation Table (internal)'!E23,IF('Basic Settings'!$B$7='Translation Table (internal)'!$F$1,'Translation Table (internal)'!F23,'Translation Table (internal)'!B23)))))</f>
        <v>(useable production)</v>
      </c>
      <c r="B23" s="318" t="s">
        <v>222</v>
      </c>
      <c r="C23" s="314" t="s">
        <v>193</v>
      </c>
      <c r="D23" s="314" t="s">
        <v>448</v>
      </c>
      <c r="E23" s="608" t="s">
        <v>554</v>
      </c>
      <c r="F23" s="314" t="s">
        <v>359</v>
      </c>
    </row>
    <row r="24" spans="1:6" x14ac:dyDescent="0.35">
      <c r="A24" s="318" t="str">
        <f>IF('Basic Settings'!$B$7='Translation Table (internal)'!$B$1,'Translation Table (internal)'!B24,IF('Basic Settings'!$B$7='Translation Table (internal)'!$C$1,'Translation Table (internal)'!C24,IF('Basic Settings'!$B$7='Translation Table (internal)'!$D$1,'Translation Table (internal)'!D24,IF('Basic Settings'!$B$7='Translation Table (internal)'!$E$1,'Translation Table (internal)'!E24,IF('Basic Settings'!$B$7='Translation Table (internal)'!$F$1,'Translation Table (internal)'!F24,'Translation Table (internal)'!B24)))))</f>
        <v>Further external Influences</v>
      </c>
      <c r="B24" s="318" t="s">
        <v>223</v>
      </c>
      <c r="C24" s="314" t="s">
        <v>192</v>
      </c>
      <c r="D24" s="314" t="s">
        <v>449</v>
      </c>
      <c r="E24" s="608" t="s">
        <v>555</v>
      </c>
      <c r="F24" s="314" t="s">
        <v>360</v>
      </c>
    </row>
    <row r="25" spans="1:6" x14ac:dyDescent="0.35">
      <c r="A25" s="318" t="str">
        <f>IF('Basic Settings'!$B$7='Translation Table (internal)'!$B$1,'Translation Table (internal)'!B25,IF('Basic Settings'!$B$7='Translation Table (internal)'!$C$1,'Translation Table (internal)'!C25,IF('Basic Settings'!$B$7='Translation Table (internal)'!$D$1,'Translation Table (internal)'!D25,IF('Basic Settings'!$B$7='Translation Table (internal)'!$E$1,'Translation Table (internal)'!E25,IF('Basic Settings'!$B$7='Translation Table (internal)'!$F$1,'Translation Table (internal)'!F25,'Translation Table (internal)'!B25)))))</f>
        <v>(e. g. Production of other Products, Ambient Temperatures)</v>
      </c>
      <c r="B25" s="318" t="s">
        <v>224</v>
      </c>
      <c r="C25" s="314" t="s">
        <v>194</v>
      </c>
      <c r="D25" s="314" t="s">
        <v>450</v>
      </c>
      <c r="E25" s="608" t="s">
        <v>556</v>
      </c>
      <c r="F25" s="314" t="s">
        <v>361</v>
      </c>
    </row>
    <row r="26" spans="1:6" x14ac:dyDescent="0.35">
      <c r="A26" s="318"/>
      <c r="B26" s="318"/>
      <c r="C26" s="316"/>
      <c r="D26" s="314"/>
      <c r="E26" s="608"/>
      <c r="F26" s="314"/>
    </row>
    <row r="27" spans="1:6" x14ac:dyDescent="0.35">
      <c r="A27" s="318" t="str">
        <f>IF('Basic Settings'!$B$7='Translation Table (internal)'!$B$1,'Translation Table (internal)'!B27,IF('Basic Settings'!$B$7='Translation Table (internal)'!$C$1,'Translation Table (internal)'!C27,IF('Basic Settings'!$B$7='Translation Table (internal)'!$D$1,'Translation Table (internal)'!D27,IF('Basic Settings'!$B$7='Translation Table (internal)'!$E$1,'Translation Table (internal)'!E27,IF('Basic Settings'!$B$7='Translation Table (internal)'!$F$1,'Translation Table (internal)'!F27,'Translation Table (internal)'!B27)))))</f>
        <v>Calculate Modell and Evaluate Usability</v>
      </c>
      <c r="B27" s="318" t="s">
        <v>296</v>
      </c>
      <c r="C27" s="314" t="s">
        <v>195</v>
      </c>
      <c r="D27" s="314" t="s">
        <v>451</v>
      </c>
      <c r="E27" s="608" t="s">
        <v>557</v>
      </c>
      <c r="F27" s="314" t="s">
        <v>362</v>
      </c>
    </row>
    <row r="28" spans="1:6" x14ac:dyDescent="0.35">
      <c r="A28" s="318" t="str">
        <f>IF('Basic Settings'!$B$7='Translation Table (internal)'!$B$1,'Translation Table (internal)'!B28,IF('Basic Settings'!$B$7='Translation Table (internal)'!$C$1,'Translation Table (internal)'!C28,IF('Basic Settings'!$B$7='Translation Table (internal)'!$D$1,'Translation Table (internal)'!D28,IF('Basic Settings'!$B$7='Translation Table (internal)'!$E$1,'Translation Table (internal)'!E28,IF('Basic Settings'!$B$7='Translation Table (internal)'!$F$1,'Translation Table (internal)'!F28,'Translation Table (internal)'!B28)))))</f>
        <v>No Table Protection: Don´t change Formulas!</v>
      </c>
      <c r="B28" s="318" t="s">
        <v>225</v>
      </c>
      <c r="C28" s="314" t="s">
        <v>170</v>
      </c>
      <c r="D28" s="314" t="s">
        <v>452</v>
      </c>
      <c r="E28" s="608" t="s">
        <v>558</v>
      </c>
      <c r="F28" s="314" t="s">
        <v>363</v>
      </c>
    </row>
    <row r="29" spans="1:6" ht="43.5" x14ac:dyDescent="0.35">
      <c r="A29" s="318" t="str">
        <f>IF('Basic Settings'!$B$7='Translation Table (internal)'!$B$1,'Translation Table (internal)'!B29,IF('Basic Settings'!$B$7='Translation Table (internal)'!$C$1,'Translation Table (internal)'!C29,IF('Basic Settings'!$B$7='Translation Table (internal)'!$D$1,'Translation Table (internal)'!D29,IF('Basic Settings'!$B$7='Translation Table (internal)'!$E$1,'Translation Table (internal)'!E29,IF('Basic Settings'!$B$7='Translation Table (internal)'!$F$1,'Translation Table (internal)'!F29,'Translation Table (internal)'!B29)))))</f>
        <v>Every Time, when Data or Settings are changed in table "Reference", you need repeat this Step! Otherwise Results will be wrong!</v>
      </c>
      <c r="B29" s="318" t="s">
        <v>313</v>
      </c>
      <c r="C29" s="314" t="s">
        <v>312</v>
      </c>
      <c r="D29" s="314" t="s">
        <v>453</v>
      </c>
      <c r="E29" s="609" t="s">
        <v>559</v>
      </c>
      <c r="F29" s="395" t="s">
        <v>364</v>
      </c>
    </row>
    <row r="30" spans="1:6" ht="58" x14ac:dyDescent="0.35">
      <c r="A30" s="318" t="str">
        <f>IF('Basic Settings'!$B$7='Translation Table (internal)'!$B$1,'Translation Table (internal)'!B30,IF('Basic Settings'!$B$7='Translation Table (internal)'!$C$1,'Translation Table (internal)'!C30,IF('Basic Settings'!$B$7='Translation Table (internal)'!$D$1,'Translation Table (internal)'!D30,IF('Basic Settings'!$B$7='Translation Table (internal)'!$E$1,'Translation Table (internal)'!E30,IF('Basic Settings'!$B$7='Translation Table (internal)'!$F$1,'Translation Table (internal)'!F30,'Translation Table (internal)'!B30)))))</f>
        <v>Select "Data" -&gt; "Data Analysis" -&gt; "Regression" and simply type in "Input Y Range" an "y",  in "Input X Range" an "x". Further select "Output Range" and type in an "a". Don´t change further settings</v>
      </c>
      <c r="B30" s="318" t="s">
        <v>226</v>
      </c>
      <c r="C30" s="314" t="s">
        <v>206</v>
      </c>
      <c r="D30" s="314" t="s">
        <v>454</v>
      </c>
      <c r="E30" s="609" t="s">
        <v>560</v>
      </c>
      <c r="F30" s="395" t="s">
        <v>368</v>
      </c>
    </row>
    <row r="31" spans="1:6" x14ac:dyDescent="0.35">
      <c r="A31" s="318" t="str">
        <f>IF('Basic Settings'!$B$7='Translation Table (internal)'!$B$1,'Translation Table (internal)'!B31,IF('Basic Settings'!$B$7='Translation Table (internal)'!$C$1,'Translation Table (internal)'!C31,IF('Basic Settings'!$B$7='Translation Table (internal)'!$D$1,'Translation Table (internal)'!D31,IF('Basic Settings'!$B$7='Translation Table (internal)'!$E$1,'Translation Table (internal)'!E31,IF('Basic Settings'!$B$7='Translation Table (internal)'!$F$1,'Translation Table (internal)'!F31,'Translation Table (internal)'!B31)))))</f>
        <v>Input Y Range</v>
      </c>
      <c r="B31" s="318" t="s">
        <v>207</v>
      </c>
      <c r="C31" s="314" t="s">
        <v>207</v>
      </c>
      <c r="D31" s="314" t="s">
        <v>455</v>
      </c>
      <c r="E31" s="608" t="s">
        <v>561</v>
      </c>
      <c r="F31" s="314" t="s">
        <v>365</v>
      </c>
    </row>
    <row r="32" spans="1:6" x14ac:dyDescent="0.35">
      <c r="A32" s="318" t="str">
        <f>IF('Basic Settings'!$B$7='Translation Table (internal)'!$B$1,'Translation Table (internal)'!B32,IF('Basic Settings'!$B$7='Translation Table (internal)'!$C$1,'Translation Table (internal)'!C32,IF('Basic Settings'!$B$7='Translation Table (internal)'!$D$1,'Translation Table (internal)'!D32,IF('Basic Settings'!$B$7='Translation Table (internal)'!$E$1,'Translation Table (internal)'!E32,IF('Basic Settings'!$B$7='Translation Table (internal)'!$F$1,'Translation Table (internal)'!F32,'Translation Table (internal)'!B32)))))</f>
        <v>Input X Range</v>
      </c>
      <c r="B32" s="318" t="s">
        <v>208</v>
      </c>
      <c r="C32" s="314" t="s">
        <v>208</v>
      </c>
      <c r="D32" s="314" t="s">
        <v>456</v>
      </c>
      <c r="E32" s="608" t="s">
        <v>562</v>
      </c>
      <c r="F32" s="314" t="s">
        <v>366</v>
      </c>
    </row>
    <row r="33" spans="1:6" x14ac:dyDescent="0.35">
      <c r="A33" s="318" t="str">
        <f>IF('Basic Settings'!$B$7='Translation Table (internal)'!$B$1,'Translation Table (internal)'!B33,IF('Basic Settings'!$B$7='Translation Table (internal)'!$C$1,'Translation Table (internal)'!C33,IF('Basic Settings'!$B$7='Translation Table (internal)'!$D$1,'Translation Table (internal)'!D33,IF('Basic Settings'!$B$7='Translation Table (internal)'!$E$1,'Translation Table (internal)'!E33,IF('Basic Settings'!$B$7='Translation Table (internal)'!$F$1,'Translation Table (internal)'!F33,'Translation Table (internal)'!B33)))))</f>
        <v>Output Range</v>
      </c>
      <c r="B33" s="318" t="s">
        <v>209</v>
      </c>
      <c r="C33" s="314" t="s">
        <v>209</v>
      </c>
      <c r="D33" s="314" t="s">
        <v>457</v>
      </c>
      <c r="E33" s="608" t="s">
        <v>563</v>
      </c>
      <c r="F33" s="314" t="s">
        <v>367</v>
      </c>
    </row>
    <row r="34" spans="1:6" x14ac:dyDescent="0.35">
      <c r="A34" s="318" t="str">
        <f>IF('Basic Settings'!$B$7='Translation Table (internal)'!$B$1,'Translation Table (internal)'!B34,IF('Basic Settings'!$B$7='Translation Table (internal)'!$C$1,'Translation Table (internal)'!C34,IF('Basic Settings'!$B$7='Translation Table (internal)'!$D$1,'Translation Table (internal)'!D34,IF('Basic Settings'!$B$7='Translation Table (internal)'!$E$1,'Translation Table (internal)'!E34,IF('Basic Settings'!$B$7='Translation Table (internal)'!$F$1,'Translation Table (internal)'!F34,'Translation Table (internal)'!B34)))))</f>
        <v>Regression Modell (on basis of Data Analysis from/to:</v>
      </c>
      <c r="B34" s="318" t="s">
        <v>227</v>
      </c>
      <c r="C34" s="314" t="s">
        <v>187</v>
      </c>
      <c r="D34" s="314" t="s">
        <v>458</v>
      </c>
      <c r="E34" s="608" t="s">
        <v>564</v>
      </c>
      <c r="F34" s="314" t="s">
        <v>369</v>
      </c>
    </row>
    <row r="35" spans="1:6" x14ac:dyDescent="0.35">
      <c r="A35" s="318" t="str">
        <f>IF('Basic Settings'!$B$7='Translation Table (internal)'!$B$1,'Translation Table (internal)'!B35,IF('Basic Settings'!$B$7='Translation Table (internal)'!$C$1,'Translation Table (internal)'!C35,IF('Basic Settings'!$B$7='Translation Table (internal)'!$D$1,'Translation Table (internal)'!D35,IF('Basic Settings'!$B$7='Translation Table (internal)'!$E$1,'Translation Table (internal)'!E35,IF('Basic Settings'!$B$7='Translation Table (internal)'!$F$1,'Translation Table (internal)'!F35,'Translation Table (internal)'!B35)))))</f>
        <v>, basis for Data Analysis were Periods of:</v>
      </c>
      <c r="B35" s="318" t="s">
        <v>228</v>
      </c>
      <c r="C35" s="314" t="s">
        <v>179</v>
      </c>
      <c r="D35" s="314" t="s">
        <v>459</v>
      </c>
      <c r="E35" s="608" t="s">
        <v>565</v>
      </c>
      <c r="F35" s="314" t="s">
        <v>370</v>
      </c>
    </row>
    <row r="36" spans="1:6" x14ac:dyDescent="0.35">
      <c r="A36" s="318" t="str">
        <f>IF('Basic Settings'!$B$7='Translation Table (internal)'!$B$1,'Translation Table (internal)'!B36,IF('Basic Settings'!$B$7='Translation Table (internal)'!$C$1,'Translation Table (internal)'!C36,IF('Basic Settings'!$B$7='Translation Table (internal)'!$D$1,'Translation Table (internal)'!D36,IF('Basic Settings'!$B$7='Translation Table (internal)'!$E$1,'Translation Table (internal)'!E36,IF('Basic Settings'!$B$7='Translation Table (internal)'!$F$1,'Translation Table (internal)'!F36,'Translation Table (internal)'!B36)))))</f>
        <v>Grafical Evaluation: y-Modell and y-Measurement</v>
      </c>
      <c r="B36" s="318" t="s">
        <v>229</v>
      </c>
      <c r="C36" s="314" t="s">
        <v>175</v>
      </c>
      <c r="D36" s="314" t="s">
        <v>460</v>
      </c>
      <c r="E36" s="608" t="s">
        <v>566</v>
      </c>
      <c r="F36" s="314" t="s">
        <v>371</v>
      </c>
    </row>
    <row r="37" spans="1:6" ht="29" x14ac:dyDescent="0.35">
      <c r="A37" s="318" t="str">
        <f>IF('Basic Settings'!$B$7='Translation Table (internal)'!$B$1,'Translation Table (internal)'!B37,IF('Basic Settings'!$B$7='Translation Table (internal)'!$C$1,'Translation Table (internal)'!C37,IF('Basic Settings'!$B$7='Translation Table (internal)'!$D$1,'Translation Table (internal)'!D37,IF('Basic Settings'!$B$7='Translation Table (internal)'!$E$1,'Translation Table (internal)'!E37,IF('Basic Settings'!$B$7='Translation Table (internal)'!$F$1,'Translation Table (internal)'!F37,'Translation Table (internal)'!B37)))))</f>
        <v>Good Models should show a good linear Correspondence</v>
      </c>
      <c r="B37" s="318" t="s">
        <v>230</v>
      </c>
      <c r="C37" s="314" t="s">
        <v>180</v>
      </c>
      <c r="D37" s="314" t="s">
        <v>461</v>
      </c>
      <c r="E37" s="608" t="s">
        <v>567</v>
      </c>
      <c r="F37" s="395" t="s">
        <v>372</v>
      </c>
    </row>
    <row r="38" spans="1:6" x14ac:dyDescent="0.35">
      <c r="A38" s="318" t="str">
        <f>IF('Basic Settings'!$B$7='Translation Table (internal)'!$B$1,'Translation Table (internal)'!B38,IF('Basic Settings'!$B$7='Translation Table (internal)'!$C$1,'Translation Table (internal)'!C38,IF('Basic Settings'!$B$7='Translation Table (internal)'!$D$1,'Translation Table (internal)'!D38,IF('Basic Settings'!$B$7='Translation Table (internal)'!$E$1,'Translation Table (internal)'!E38,IF('Basic Settings'!$B$7='Translation Table (internal)'!$F$1,'Translation Table (internal)'!F38,'Translation Table (internal)'!B38)))))</f>
        <v>Statistical Evaluators on the whole Regression Model</v>
      </c>
      <c r="B38" s="318" t="s">
        <v>231</v>
      </c>
      <c r="C38" s="314" t="s">
        <v>130</v>
      </c>
      <c r="D38" s="314" t="s">
        <v>462</v>
      </c>
      <c r="E38" s="608" t="s">
        <v>568</v>
      </c>
      <c r="F38" s="314" t="s">
        <v>373</v>
      </c>
    </row>
    <row r="39" spans="1:6" x14ac:dyDescent="0.35">
      <c r="A39" s="318" t="str">
        <f>IF('Basic Settings'!$B$7='Translation Table (internal)'!$B$1,'Translation Table (internal)'!B39,IF('Basic Settings'!$B$7='Translation Table (internal)'!$C$1,'Translation Table (internal)'!C39,IF('Basic Settings'!$B$7='Translation Table (internal)'!$D$1,'Translation Table (internal)'!D39,IF('Basic Settings'!$B$7='Translation Table (internal)'!$E$1,'Translation Table (internal)'!E39,IF('Basic Settings'!$B$7='Translation Table (internal)'!$F$1,'Translation Table (internal)'!F39,'Translation Table (internal)'!B39)))))</f>
        <v>MAPE</v>
      </c>
      <c r="B39" s="318" t="s">
        <v>110</v>
      </c>
      <c r="C39" s="314" t="s">
        <v>110</v>
      </c>
      <c r="D39" s="314" t="s">
        <v>110</v>
      </c>
      <c r="E39" s="608" t="s">
        <v>110</v>
      </c>
      <c r="F39" s="314" t="s">
        <v>110</v>
      </c>
    </row>
    <row r="40" spans="1:6" x14ac:dyDescent="0.35">
      <c r="A40" s="318" t="str">
        <f>IF('Basic Settings'!$B$7='Translation Table (internal)'!$B$1,'Translation Table (internal)'!B40,IF('Basic Settings'!$B$7='Translation Table (internal)'!$C$1,'Translation Table (internal)'!C40,IF('Basic Settings'!$B$7='Translation Table (internal)'!$D$1,'Translation Table (internal)'!D40,IF('Basic Settings'!$B$7='Translation Table (internal)'!$E$1,'Translation Table (internal)'!E40,IF('Basic Settings'!$B$7='Translation Table (internal)'!$F$1,'Translation Table (internal)'!F40,'Translation Table (internal)'!B40)))))</f>
        <v>R²</v>
      </c>
      <c r="B40" s="318" t="s">
        <v>164</v>
      </c>
      <c r="C40" s="314" t="s">
        <v>164</v>
      </c>
      <c r="D40" s="314" t="s">
        <v>164</v>
      </c>
      <c r="E40" s="608" t="s">
        <v>164</v>
      </c>
      <c r="F40" s="314" t="s">
        <v>164</v>
      </c>
    </row>
    <row r="41" spans="1:6" x14ac:dyDescent="0.35">
      <c r="A41" s="318" t="str">
        <f>IF('Basic Settings'!$B$7='Translation Table (internal)'!$B$1,'Translation Table (internal)'!B41,IF('Basic Settings'!$B$7='Translation Table (internal)'!$C$1,'Translation Table (internal)'!C41,IF('Basic Settings'!$B$7='Translation Table (internal)'!$D$1,'Translation Table (internal)'!D41,IF('Basic Settings'!$B$7='Translation Table (internal)'!$E$1,'Translation Table (internal)'!E41,IF('Basic Settings'!$B$7='Translation Table (internal)'!$F$1,'Translation Table (internal)'!F41,'Translation Table (internal)'!B41)))))</f>
        <v>Adjusten R²</v>
      </c>
      <c r="B41" s="318" t="s">
        <v>232</v>
      </c>
      <c r="C41" s="314" t="s">
        <v>213</v>
      </c>
      <c r="D41" s="314" t="s">
        <v>463</v>
      </c>
      <c r="E41" s="608" t="s">
        <v>569</v>
      </c>
      <c r="F41" s="314" t="s">
        <v>374</v>
      </c>
    </row>
    <row r="42" spans="1:6" x14ac:dyDescent="0.35">
      <c r="A42" s="318" t="str">
        <f>IF('Basic Settings'!$B$7='Translation Table (internal)'!$B$1,'Translation Table (internal)'!B42,IF('Basic Settings'!$B$7='Translation Table (internal)'!$C$1,'Translation Table (internal)'!C42,IF('Basic Settings'!$B$7='Translation Table (internal)'!$D$1,'Translation Table (internal)'!D42,IF('Basic Settings'!$B$7='Translation Table (internal)'!$E$1,'Translation Table (internal)'!E42,IF('Basic Settings'!$B$7='Translation Table (internal)'!$F$1,'Translation Table (internal)'!F42,'Translation Table (internal)'!B42)))))</f>
        <v>P-Value (F crit)</v>
      </c>
      <c r="B42" s="318" t="s">
        <v>233</v>
      </c>
      <c r="C42" s="314" t="s">
        <v>212</v>
      </c>
      <c r="D42" s="314" t="s">
        <v>464</v>
      </c>
      <c r="E42" s="608" t="s">
        <v>570</v>
      </c>
      <c r="F42" s="314" t="s">
        <v>375</v>
      </c>
    </row>
    <row r="43" spans="1:6" x14ac:dyDescent="0.35">
      <c r="A43" s="318" t="str">
        <f>IF('Basic Settings'!$B$7='Translation Table (internal)'!$B$1,'Translation Table (internal)'!B43,IF('Basic Settings'!$B$7='Translation Table (internal)'!$C$1,'Translation Table (internal)'!C43,IF('Basic Settings'!$B$7='Translation Table (internal)'!$D$1,'Translation Table (internal)'!D43,IF('Basic Settings'!$B$7='Translation Table (internal)'!$E$1,'Translation Table (internal)'!E43,IF('Basic Settings'!$B$7='Translation Table (internal)'!$F$1,'Translation Table (internal)'!F43,'Translation Table (internal)'!B43)))))</f>
        <v>F-Value (F-Test)</v>
      </c>
      <c r="B43" s="318" t="s">
        <v>234</v>
      </c>
      <c r="C43" s="314" t="s">
        <v>131</v>
      </c>
      <c r="D43" s="314" t="s">
        <v>465</v>
      </c>
      <c r="E43" s="608" t="s">
        <v>571</v>
      </c>
      <c r="F43" s="314" t="s">
        <v>376</v>
      </c>
    </row>
    <row r="44" spans="1:6" x14ac:dyDescent="0.35">
      <c r="A44" s="318" t="str">
        <f>IF('Basic Settings'!$B$7='Translation Table (internal)'!$B$1,'Translation Table (internal)'!B44,IF('Basic Settings'!$B$7='Translation Table (internal)'!$C$1,'Translation Table (internal)'!C44,IF('Basic Settings'!$B$7='Translation Table (internal)'!$D$1,'Translation Table (internal)'!D44,IF('Basic Settings'!$B$7='Translation Table (internal)'!$E$1,'Translation Table (internal)'!E44,IF('Basic Settings'!$B$7='Translation Table (internal)'!$F$1,'Translation Table (internal)'!F44,'Translation Table (internal)'!B44)))))</f>
        <v>Multiple coefficient of correlation</v>
      </c>
      <c r="B44" s="318" t="s">
        <v>235</v>
      </c>
      <c r="C44" s="314" t="s">
        <v>13</v>
      </c>
      <c r="D44" s="314" t="s">
        <v>466</v>
      </c>
      <c r="E44" s="608" t="s">
        <v>572</v>
      </c>
      <c r="F44" s="314" t="s">
        <v>377</v>
      </c>
    </row>
    <row r="45" spans="1:6" x14ac:dyDescent="0.35">
      <c r="A45" s="318" t="str">
        <f>IF('Basic Settings'!$B$7='Translation Table (internal)'!$B$1,'Translation Table (internal)'!B45,IF('Basic Settings'!$B$7='Translation Table (internal)'!$C$1,'Translation Table (internal)'!C45,IF('Basic Settings'!$B$7='Translation Table (internal)'!$D$1,'Translation Table (internal)'!D45,IF('Basic Settings'!$B$7='Translation Table (internal)'!$E$1,'Translation Table (internal)'!E45,IF('Basic Settings'!$B$7='Translation Table (internal)'!$F$1,'Translation Table (internal)'!F45,'Translation Table (internal)'!B45)))))</f>
        <v>Standard Deviation</v>
      </c>
      <c r="B45" s="318" t="s">
        <v>236</v>
      </c>
      <c r="C45" s="314" t="s">
        <v>181</v>
      </c>
      <c r="D45" s="314" t="s">
        <v>467</v>
      </c>
      <c r="E45" s="608" t="s">
        <v>573</v>
      </c>
      <c r="F45" s="314" t="s">
        <v>378</v>
      </c>
    </row>
    <row r="46" spans="1:6" x14ac:dyDescent="0.35">
      <c r="A46" s="318" t="str">
        <f>IF('Basic Settings'!$B$7='Translation Table (internal)'!$B$1,'Translation Table (internal)'!B46,IF('Basic Settings'!$B$7='Translation Table (internal)'!$C$1,'Translation Table (internal)'!C46,IF('Basic Settings'!$B$7='Translation Table (internal)'!$D$1,'Translation Table (internal)'!D46,IF('Basic Settings'!$B$7='Translation Table (internal)'!$E$1,'Translation Table (internal)'!E46,IF('Basic Settings'!$B$7='Translation Table (internal)'!$F$1,'Translation Table (internal)'!F46,'Translation Table (internal)'!B46)))))</f>
        <v>Observations</v>
      </c>
      <c r="B46" s="318" t="s">
        <v>237</v>
      </c>
      <c r="C46" s="314" t="s">
        <v>16</v>
      </c>
      <c r="D46" s="314" t="s">
        <v>468</v>
      </c>
      <c r="E46" s="608" t="s">
        <v>237</v>
      </c>
      <c r="F46" s="314" t="s">
        <v>379</v>
      </c>
    </row>
    <row r="47" spans="1:6" x14ac:dyDescent="0.35">
      <c r="A47" s="318" t="str">
        <f>IF('Basic Settings'!$B$7='Translation Table (internal)'!$B$1,'Translation Table (internal)'!B47,IF('Basic Settings'!$B$7='Translation Table (internal)'!$C$1,'Translation Table (internal)'!C47,IF('Basic Settings'!$B$7='Translation Table (internal)'!$D$1,'Translation Table (internal)'!D47,IF('Basic Settings'!$B$7='Translation Table (internal)'!$E$1,'Translation Table (internal)'!E47,IF('Basic Settings'!$B$7='Translation Table (internal)'!$F$1,'Translation Table (internal)'!F47,'Translation Table (internal)'!B47)))))</f>
        <v>Analysis of Variation</v>
      </c>
      <c r="B47" s="318" t="s">
        <v>238</v>
      </c>
      <c r="C47" s="314" t="s">
        <v>134</v>
      </c>
      <c r="D47" s="314" t="s">
        <v>469</v>
      </c>
      <c r="E47" s="608" t="s">
        <v>574</v>
      </c>
      <c r="F47" s="314" t="s">
        <v>380</v>
      </c>
    </row>
    <row r="48" spans="1:6" x14ac:dyDescent="0.35">
      <c r="A48" s="318" t="str">
        <f>IF('Basic Settings'!$B$7='Translation Table (internal)'!$B$1,'Translation Table (internal)'!B48,IF('Basic Settings'!$B$7='Translation Table (internal)'!$C$1,'Translation Table (internal)'!C48,IF('Basic Settings'!$B$7='Translation Table (internal)'!$D$1,'Translation Table (internal)'!D48,IF('Basic Settings'!$B$7='Translation Table (internal)'!$E$1,'Translation Table (internal)'!E48,IF('Basic Settings'!$B$7='Translation Table (internal)'!$F$1,'Translation Table (internal)'!F48,'Translation Table (internal)'!B48)))))</f>
        <v>Regression</v>
      </c>
      <c r="B48" s="318" t="s">
        <v>18</v>
      </c>
      <c r="C48" s="314" t="s">
        <v>18</v>
      </c>
      <c r="D48" s="314" t="s">
        <v>470</v>
      </c>
      <c r="E48" s="608" t="s">
        <v>575</v>
      </c>
      <c r="F48" s="314" t="s">
        <v>381</v>
      </c>
    </row>
    <row r="49" spans="1:6" x14ac:dyDescent="0.35">
      <c r="A49" s="318" t="str">
        <f>IF('Basic Settings'!$B$7='Translation Table (internal)'!$B$1,'Translation Table (internal)'!B49,IF('Basic Settings'!$B$7='Translation Table (internal)'!$C$1,'Translation Table (internal)'!C49,IF('Basic Settings'!$B$7='Translation Table (internal)'!$D$1,'Translation Table (internal)'!D49,IF('Basic Settings'!$B$7='Translation Table (internal)'!$E$1,'Translation Table (internal)'!E49,IF('Basic Settings'!$B$7='Translation Table (internal)'!$F$1,'Translation Table (internal)'!F49,'Translation Table (internal)'!B49)))))</f>
        <v>Residuals</v>
      </c>
      <c r="B49" s="318" t="s">
        <v>239</v>
      </c>
      <c r="C49" s="314" t="s">
        <v>19</v>
      </c>
      <c r="D49" s="314" t="s">
        <v>471</v>
      </c>
      <c r="E49" s="608" t="s">
        <v>576</v>
      </c>
      <c r="F49" s="314" t="s">
        <v>382</v>
      </c>
    </row>
    <row r="50" spans="1:6" x14ac:dyDescent="0.35">
      <c r="A50" s="318" t="str">
        <f>IF('Basic Settings'!$B$7='Translation Table (internal)'!$B$1,'Translation Table (internal)'!B50,IF('Basic Settings'!$B$7='Translation Table (internal)'!$C$1,'Translation Table (internal)'!C50,IF('Basic Settings'!$B$7='Translation Table (internal)'!$D$1,'Translation Table (internal)'!D50,IF('Basic Settings'!$B$7='Translation Table (internal)'!$E$1,'Translation Table (internal)'!E50,IF('Basic Settings'!$B$7='Translation Table (internal)'!$F$1,'Translation Table (internal)'!F50,'Translation Table (internal)'!B50)))))</f>
        <v>Alltogether</v>
      </c>
      <c r="B50" s="318" t="s">
        <v>240</v>
      </c>
      <c r="C50" s="314" t="s">
        <v>20</v>
      </c>
      <c r="D50" s="314" t="s">
        <v>472</v>
      </c>
      <c r="E50" s="608" t="s">
        <v>577</v>
      </c>
      <c r="F50" s="314" t="s">
        <v>383</v>
      </c>
    </row>
    <row r="51" spans="1:6" x14ac:dyDescent="0.35">
      <c r="A51" s="318" t="str">
        <f>IF('Basic Settings'!$B$7='Translation Table (internal)'!$B$1,'Translation Table (internal)'!B51,IF('Basic Settings'!$B$7='Translation Table (internal)'!$C$1,'Translation Table (internal)'!C51,IF('Basic Settings'!$B$7='Translation Table (internal)'!$D$1,'Translation Table (internal)'!D51,IF('Basic Settings'!$B$7='Translation Table (internal)'!$E$1,'Translation Table (internal)'!E51,IF('Basic Settings'!$B$7='Translation Table (internal)'!$F$1,'Translation Table (internal)'!F51,'Translation Table (internal)'!B51)))))</f>
        <v>Areas of Freedom (df)</v>
      </c>
      <c r="B51" s="318" t="s">
        <v>241</v>
      </c>
      <c r="C51" s="314" t="s">
        <v>22</v>
      </c>
      <c r="D51" s="314" t="s">
        <v>473</v>
      </c>
      <c r="E51" s="608" t="s">
        <v>578</v>
      </c>
      <c r="F51" s="314" t="s">
        <v>384</v>
      </c>
    </row>
    <row r="52" spans="1:6" x14ac:dyDescent="0.35">
      <c r="A52" s="318" t="str">
        <f>IF('Basic Settings'!$B$7='Translation Table (internal)'!$B$1,'Translation Table (internal)'!B52,IF('Basic Settings'!$B$7='Translation Table (internal)'!$C$1,'Translation Table (internal)'!C52,IF('Basic Settings'!$B$7='Translation Table (internal)'!$D$1,'Translation Table (internal)'!D52,IF('Basic Settings'!$B$7='Translation Table (internal)'!$E$1,'Translation Table (internal)'!E52,IF('Basic Settings'!$B$7='Translation Table (internal)'!$F$1,'Translation Table (internal)'!F52,'Translation Table (internal)'!B52)))))</f>
        <v>Variation</v>
      </c>
      <c r="B52" s="318" t="s">
        <v>132</v>
      </c>
      <c r="C52" s="314" t="s">
        <v>132</v>
      </c>
      <c r="D52" s="314" t="s">
        <v>474</v>
      </c>
      <c r="E52" s="608" t="s">
        <v>132</v>
      </c>
      <c r="F52" s="314" t="s">
        <v>385</v>
      </c>
    </row>
    <row r="53" spans="1:6" x14ac:dyDescent="0.35">
      <c r="A53" s="318" t="str">
        <f>IF('Basic Settings'!$B$7='Translation Table (internal)'!$B$1,'Translation Table (internal)'!B53,IF('Basic Settings'!$B$7='Translation Table (internal)'!$C$1,'Translation Table (internal)'!C53,IF('Basic Settings'!$B$7='Translation Table (internal)'!$D$1,'Translation Table (internal)'!D53,IF('Basic Settings'!$B$7='Translation Table (internal)'!$E$1,'Translation Table (internal)'!E53,IF('Basic Settings'!$B$7='Translation Table (internal)'!$F$1,'Translation Table (internal)'!F53,'Translation Table (internal)'!B53)))))</f>
        <v>Mean Variation</v>
      </c>
      <c r="B53" s="318" t="s">
        <v>242</v>
      </c>
      <c r="C53" s="314" t="s">
        <v>133</v>
      </c>
      <c r="D53" s="314" t="s">
        <v>475</v>
      </c>
      <c r="E53" s="608" t="s">
        <v>579</v>
      </c>
      <c r="F53" s="314" t="s">
        <v>386</v>
      </c>
    </row>
    <row r="54" spans="1:6" ht="29" x14ac:dyDescent="0.35">
      <c r="A54" s="318" t="str">
        <f>IF('Basic Settings'!$B$7='Translation Table (internal)'!$B$1,'Translation Table (internal)'!B54,IF('Basic Settings'!$B$7='Translation Table (internal)'!$C$1,'Translation Table (internal)'!C54,IF('Basic Settings'!$B$7='Translation Table (internal)'!$D$1,'Translation Table (internal)'!D54,IF('Basic Settings'!$B$7='Translation Table (internal)'!$E$1,'Translation Table (internal)'!E54,IF('Basic Settings'!$B$7='Translation Table (internal)'!$F$1,'Translation Table (internal)'!F54,'Translation Table (internal)'!B54)))))</f>
        <v>Coefficient for Variables an the Constant Value of the Regression Model</v>
      </c>
      <c r="B54" s="318" t="s">
        <v>243</v>
      </c>
      <c r="C54" s="314" t="s">
        <v>140</v>
      </c>
      <c r="D54" s="314" t="s">
        <v>476</v>
      </c>
      <c r="E54" s="608" t="s">
        <v>580</v>
      </c>
      <c r="F54" s="395" t="s">
        <v>387</v>
      </c>
    </row>
    <row r="55" spans="1:6" x14ac:dyDescent="0.35">
      <c r="A55" s="318" t="str">
        <f>IF('Basic Settings'!$B$7='Translation Table (internal)'!$B$1,'Translation Table (internal)'!B55,IF('Basic Settings'!$B$7='Translation Table (internal)'!$C$1,'Translation Table (internal)'!C55,IF('Basic Settings'!$B$7='Translation Table (internal)'!$D$1,'Translation Table (internal)'!D55,IF('Basic Settings'!$B$7='Translation Table (internal)'!$E$1,'Translation Table (internal)'!E55,IF('Basic Settings'!$B$7='Translation Table (internal)'!$F$1,'Translation Table (internal)'!F55,'Translation Table (internal)'!B55)))))</f>
        <v>Relevant Variables and Constant Value</v>
      </c>
      <c r="B55" s="318" t="s">
        <v>244</v>
      </c>
      <c r="C55" s="314" t="s">
        <v>188</v>
      </c>
      <c r="D55" s="314" t="s">
        <v>477</v>
      </c>
      <c r="E55" s="608" t="s">
        <v>581</v>
      </c>
      <c r="F55" s="314" t="s">
        <v>388</v>
      </c>
    </row>
    <row r="56" spans="1:6" x14ac:dyDescent="0.35">
      <c r="A56" s="318" t="str">
        <f>IF('Basic Settings'!$B$7='Translation Table (internal)'!$B$1,'Translation Table (internal)'!B56,IF('Basic Settings'!$B$7='Translation Table (internal)'!$C$1,'Translation Table (internal)'!C56,IF('Basic Settings'!$B$7='Translation Table (internal)'!$D$1,'Translation Table (internal)'!D56,IF('Basic Settings'!$B$7='Translation Table (internal)'!$E$1,'Translation Table (internal)'!E56,IF('Basic Settings'!$B$7='Translation Table (internal)'!$F$1,'Translation Table (internal)'!F56,'Translation Table (internal)'!B56)))))</f>
        <v>Names of the Relevant Variables</v>
      </c>
      <c r="B56" s="318" t="s">
        <v>245</v>
      </c>
      <c r="C56" s="314" t="s">
        <v>246</v>
      </c>
      <c r="D56" s="314" t="s">
        <v>478</v>
      </c>
      <c r="E56" s="608" t="s">
        <v>582</v>
      </c>
      <c r="F56" s="314" t="s">
        <v>392</v>
      </c>
    </row>
    <row r="57" spans="1:6" x14ac:dyDescent="0.35">
      <c r="A57" s="318" t="str">
        <f>IF('Basic Settings'!$B$7='Translation Table (internal)'!$B$1,'Translation Table (internal)'!B57,IF('Basic Settings'!$B$7='Translation Table (internal)'!$C$1,'Translation Table (internal)'!C57,IF('Basic Settings'!$B$7='Translation Table (internal)'!$D$1,'Translation Table (internal)'!D57,IF('Basic Settings'!$B$7='Translation Table (internal)'!$E$1,'Translation Table (internal)'!E57,IF('Basic Settings'!$B$7='Translation Table (internal)'!$F$1,'Translation Table (internal)'!F57,'Translation Table (internal)'!B57)))))</f>
        <v>Short Name</v>
      </c>
      <c r="B57" s="318" t="s">
        <v>247</v>
      </c>
      <c r="C57" s="314" t="s">
        <v>137</v>
      </c>
      <c r="D57" s="314" t="s">
        <v>479</v>
      </c>
      <c r="E57" s="608" t="s">
        <v>583</v>
      </c>
      <c r="F57" s="314" t="s">
        <v>393</v>
      </c>
    </row>
    <row r="58" spans="1:6" x14ac:dyDescent="0.35">
      <c r="A58" s="318" t="str">
        <f>IF('Basic Settings'!$B$7='Translation Table (internal)'!$B$1,'Translation Table (internal)'!B58,IF('Basic Settings'!$B$7='Translation Table (internal)'!$C$1,'Translation Table (internal)'!C58,IF('Basic Settings'!$B$7='Translation Table (internal)'!$D$1,'Translation Table (internal)'!D58,IF('Basic Settings'!$B$7='Translation Table (internal)'!$E$1,'Translation Table (internal)'!E58,IF('Basic Settings'!$B$7='Translation Table (internal)'!$F$1,'Translation Table (internal)'!F58,'Translation Table (internal)'!B58)))))</f>
        <v>Name in Model</v>
      </c>
      <c r="B58" s="318" t="s">
        <v>248</v>
      </c>
      <c r="C58" s="314" t="s">
        <v>176</v>
      </c>
      <c r="D58" s="314" t="s">
        <v>480</v>
      </c>
      <c r="E58" s="608" t="s">
        <v>584</v>
      </c>
      <c r="F58" s="314" t="s">
        <v>394</v>
      </c>
    </row>
    <row r="59" spans="1:6" x14ac:dyDescent="0.35">
      <c r="A59" s="318" t="str">
        <f>IF('Basic Settings'!$B$7='Translation Table (internal)'!$B$1,'Translation Table (internal)'!B59,IF('Basic Settings'!$B$7='Translation Table (internal)'!$C$1,'Translation Table (internal)'!C59,IF('Basic Settings'!$B$7='Translation Table (internal)'!$D$1,'Translation Table (internal)'!D59,IF('Basic Settings'!$B$7='Translation Table (internal)'!$E$1,'Translation Table (internal)'!E59,IF('Basic Settings'!$B$7='Translation Table (internal)'!$F$1,'Translation Table (internal)'!F59,'Translation Table (internal)'!B59)))))</f>
        <v>Coefficient</v>
      </c>
      <c r="B59" s="318" t="s">
        <v>249</v>
      </c>
      <c r="C59" s="314" t="s">
        <v>122</v>
      </c>
      <c r="D59" s="314" t="s">
        <v>481</v>
      </c>
      <c r="E59" s="608" t="s">
        <v>249</v>
      </c>
      <c r="F59" s="314" t="s">
        <v>395</v>
      </c>
    </row>
    <row r="60" spans="1:6" x14ac:dyDescent="0.35">
      <c r="A60" s="318" t="str">
        <f>IF('Basic Settings'!$B$7='Translation Table (internal)'!$B$1,'Translation Table (internal)'!B60,IF('Basic Settings'!$B$7='Translation Table (internal)'!$C$1,'Translation Table (internal)'!C60,IF('Basic Settings'!$B$7='Translation Table (internal)'!$D$1,'Translation Table (internal)'!D60,IF('Basic Settings'!$B$7='Translation Table (internal)'!$E$1,'Translation Table (internal)'!E60,IF('Basic Settings'!$B$7='Translation Table (internal)'!$F$1,'Translation Table (internal)'!F61,'Translation Table (internal)'!B60)))))</f>
        <v>Coefficient, that is used as multiplier</v>
      </c>
      <c r="B60" s="318" t="s">
        <v>250</v>
      </c>
      <c r="C60" s="314" t="s">
        <v>178</v>
      </c>
      <c r="D60" s="314" t="s">
        <v>482</v>
      </c>
      <c r="E60" s="608" t="s">
        <v>585</v>
      </c>
      <c r="F60" s="14" t="s">
        <v>397</v>
      </c>
    </row>
    <row r="61" spans="1:6" x14ac:dyDescent="0.35">
      <c r="A61" s="318" t="str">
        <f>IF('Basic Settings'!$B$7='Translation Table (internal)'!$B$1,'Translation Table (internal)'!B61,IF('Basic Settings'!$B$7='Translation Table (internal)'!$C$1,'Translation Table (internal)'!C61,IF('Basic Settings'!$B$7='Translation Table (internal)'!$D$1,'Translation Table (internal)'!D61,IF('Basic Settings'!$B$7='Translation Table (internal)'!$E$1,'Translation Table (internal)'!E61,IF('Basic Settings'!$B$7='Translation Table (internal)'!$F$1,'Translation Table (internal)'!#REF!,'Translation Table (internal)'!B61)))))</f>
        <v>confidence intervall</v>
      </c>
      <c r="B61" s="318" t="s">
        <v>251</v>
      </c>
      <c r="C61" s="314" t="s">
        <v>135</v>
      </c>
      <c r="D61" s="314" t="s">
        <v>483</v>
      </c>
      <c r="E61" s="608" t="s">
        <v>586</v>
      </c>
      <c r="F61" s="314" t="s">
        <v>396</v>
      </c>
    </row>
    <row r="62" spans="1:6" x14ac:dyDescent="0.35">
      <c r="A62" s="318" t="str">
        <f>IF('Basic Settings'!$B$7='Translation Table (internal)'!$B$1,'Translation Table (internal)'!B62,IF('Basic Settings'!$B$7='Translation Table (internal)'!$C$1,'Translation Table (internal)'!C62,IF('Basic Settings'!$B$7='Translation Table (internal)'!$D$1,'Translation Table (internal)'!D62,IF('Basic Settings'!$B$7='Translation Table (internal)'!$E$1,'Translation Table (internal)'!E62,IF('Basic Settings'!$B$7='Translation Table (internal)'!$F$1,'Translation Table (internal)'!F62,'Translation Table (internal)'!B62)))))</f>
        <v>maximum Uncertanty in 95% of the cases</v>
      </c>
      <c r="B62" s="318" t="s">
        <v>252</v>
      </c>
      <c r="C62" s="314" t="s">
        <v>136</v>
      </c>
      <c r="D62" s="314" t="s">
        <v>484</v>
      </c>
      <c r="E62" s="608" t="s">
        <v>587</v>
      </c>
      <c r="F62" s="314" t="s">
        <v>398</v>
      </c>
    </row>
    <row r="63" spans="1:6" x14ac:dyDescent="0.35">
      <c r="A63" s="318" t="str">
        <f>IF('Basic Settings'!$B$7='Translation Table (internal)'!$B$1,'Translation Table (internal)'!B63,IF('Basic Settings'!$B$7='Translation Table (internal)'!$C$1,'Translation Table (internal)'!C63,IF('Basic Settings'!$B$7='Translation Table (internal)'!$D$1,'Translation Table (internal)'!D63,IF('Basic Settings'!$B$7='Translation Table (internal)'!$E$1,'Translation Table (internal)'!E63,IF('Basic Settings'!$B$7='Translation Table (internal)'!$F$1,'Translation Table (internal)'!F63,'Translation Table (internal)'!B63)))))</f>
        <v>P-Value:</v>
      </c>
      <c r="B63" s="318" t="s">
        <v>253</v>
      </c>
      <c r="C63" s="314" t="s">
        <v>142</v>
      </c>
      <c r="D63" s="314" t="s">
        <v>485</v>
      </c>
      <c r="E63" s="608" t="s">
        <v>588</v>
      </c>
      <c r="F63" s="314" t="s">
        <v>375</v>
      </c>
    </row>
    <row r="64" spans="1:6" x14ac:dyDescent="0.35">
      <c r="A64" s="318" t="str">
        <f>IF('Basic Settings'!$B$7='Translation Table (internal)'!$B$1,'Translation Table (internal)'!B64,IF('Basic Settings'!$B$7='Translation Table (internal)'!$C$1,'Translation Table (internal)'!C64,IF('Basic Settings'!$B$7='Translation Table (internal)'!$D$1,'Translation Table (internal)'!D64,IF('Basic Settings'!$B$7='Translation Table (internal)'!$E$1,'Translation Table (internal)'!E64,IF('Basic Settings'!$B$7='Translation Table (internal)'!$F$1,'Translation Table (internal)'!F64,'Translation Table (internal)'!B64)))))</f>
        <v xml:space="preserve">Probability, that this Coefficient is only incidently </v>
      </c>
      <c r="B64" s="318" t="s">
        <v>254</v>
      </c>
      <c r="C64" s="314" t="s">
        <v>177</v>
      </c>
      <c r="D64" s="314" t="s">
        <v>486</v>
      </c>
      <c r="E64" s="608" t="s">
        <v>589</v>
      </c>
      <c r="F64" s="314" t="s">
        <v>399</v>
      </c>
    </row>
    <row r="65" spans="1:6" x14ac:dyDescent="0.35">
      <c r="A65" s="318" t="str">
        <f>IF('Basic Settings'!$B$7='Translation Table (internal)'!$B$1,'Translation Table (internal)'!B65,IF('Basic Settings'!$B$7='Translation Table (internal)'!$C$1,'Translation Table (internal)'!C65,IF('Basic Settings'!$B$7='Translation Table (internal)'!$D$1,'Translation Table (internal)'!D65,IF('Basic Settings'!$B$7='Translation Table (internal)'!$E$1,'Translation Table (internal)'!E65,IF('Basic Settings'!$B$7='Translation Table (internal)'!$F$1,'Translation Table (internal)'!F65,'Translation Table (internal)'!B65)))))</f>
        <v>Standard Deviation</v>
      </c>
      <c r="B65" s="318" t="s">
        <v>236</v>
      </c>
      <c r="C65" s="314" t="s">
        <v>15</v>
      </c>
      <c r="D65" s="314" t="s">
        <v>467</v>
      </c>
      <c r="E65" s="608" t="s">
        <v>573</v>
      </c>
      <c r="F65" s="314" t="s">
        <v>378</v>
      </c>
    </row>
    <row r="66" spans="1:6" x14ac:dyDescent="0.35">
      <c r="A66" s="318" t="str">
        <f>IF('Basic Settings'!$B$7='Translation Table (internal)'!$B$1,'Translation Table (internal)'!B66,IF('Basic Settings'!$B$7='Translation Table (internal)'!$C$1,'Translation Table (internal)'!C66,IF('Basic Settings'!$B$7='Translation Table (internal)'!$D$1,'Translation Table (internal)'!D66,IF('Basic Settings'!$B$7='Translation Table (internal)'!$E$1,'Translation Table (internal)'!E66,IF('Basic Settings'!$B$7='Translation Table (internal)'!$F$1,'Translation Table (internal)'!F66,'Translation Table (internal)'!B66)))))</f>
        <v>t-statistics</v>
      </c>
      <c r="B66" s="318" t="s">
        <v>255</v>
      </c>
      <c r="C66" s="314" t="s">
        <v>28</v>
      </c>
      <c r="D66" s="314" t="s">
        <v>487</v>
      </c>
      <c r="E66" s="608" t="s">
        <v>590</v>
      </c>
      <c r="F66" s="314" t="s">
        <v>400</v>
      </c>
    </row>
    <row r="67" spans="1:6" x14ac:dyDescent="0.35">
      <c r="A67" s="318" t="str">
        <f>IF('Basic Settings'!$B$7='Translation Table (internal)'!$B$1,'Translation Table (internal)'!B67,IF('Basic Settings'!$B$7='Translation Table (internal)'!$C$1,'Translation Table (internal)'!C67,IF('Basic Settings'!$B$7='Translation Table (internal)'!$D$1,'Translation Table (internal)'!D67,IF('Basic Settings'!$B$7='Translation Table (internal)'!$E$1,'Translation Table (internal)'!E67,IF('Basic Settings'!$B$7='Translation Table (internal)'!$F$1,'Translation Table (internal)'!F67,'Translation Table (internal)'!B67)))))</f>
        <v>Constant Value</v>
      </c>
      <c r="B67" s="318" t="s">
        <v>256</v>
      </c>
      <c r="C67" s="314" t="s">
        <v>139</v>
      </c>
      <c r="D67" s="314" t="s">
        <v>488</v>
      </c>
      <c r="E67" s="608" t="s">
        <v>591</v>
      </c>
      <c r="F67" s="314" t="s">
        <v>401</v>
      </c>
    </row>
    <row r="68" spans="1:6" x14ac:dyDescent="0.35">
      <c r="A68" s="318"/>
      <c r="B68" s="318"/>
      <c r="C68" s="314"/>
      <c r="D68" s="314"/>
      <c r="E68" s="607"/>
      <c r="F68" s="314"/>
    </row>
    <row r="69" spans="1:6" x14ac:dyDescent="0.35">
      <c r="A69" s="318" t="str">
        <f>IF('Basic Settings'!$B$7='Translation Table (internal)'!$B$1,'Translation Table (internal)'!B69,IF('Basic Settings'!$B$7='Translation Table (internal)'!$C$1,'Translation Table (internal)'!C69,IF('Basic Settings'!$B$7='Translation Table (internal)'!$D$1,'Translation Table (internal)'!D69,IF('Basic Settings'!$B$7='Translation Table (internal)'!$E$1,'Translation Table (internal)'!E69,IF('Basic Settings'!$B$7='Translation Table (internal)'!$F$1,'Translation Table (internal)'!F69,'Translation Table (internal)'!B69)))))</f>
        <v>Enter Data for Monitoring</v>
      </c>
      <c r="B69" s="318" t="s">
        <v>297</v>
      </c>
      <c r="C69" s="314" t="s">
        <v>196</v>
      </c>
      <c r="D69" s="314" t="s">
        <v>489</v>
      </c>
      <c r="E69" s="608" t="s">
        <v>592</v>
      </c>
      <c r="F69" s="314" t="s">
        <v>402</v>
      </c>
    </row>
    <row r="70" spans="1:6" x14ac:dyDescent="0.35">
      <c r="A70" s="318" t="str">
        <f>IF('Basic Settings'!$B$7='Translation Table (internal)'!$B$1,'Translation Table (internal)'!B70,IF('Basic Settings'!$B$7='Translation Table (internal)'!$C$1,'Translation Table (internal)'!C70,IF('Basic Settings'!$B$7='Translation Table (internal)'!$D$1,'Translation Table (internal)'!D70,IF('Basic Settings'!$B$7='Translation Table (internal)'!$E$1,'Translation Table (internal)'!E70,IF('Basic Settings'!$B$7='Translation Table (internal)'!$F$1,'Translation Table (internal)'!F70,'Translation Table (internal)'!B70)))))</f>
        <v>Data for Monitoring</v>
      </c>
      <c r="B70" s="318" t="s">
        <v>257</v>
      </c>
      <c r="C70" s="314" t="s">
        <v>63</v>
      </c>
      <c r="D70" s="314" t="s">
        <v>490</v>
      </c>
      <c r="E70" s="608" t="s">
        <v>593</v>
      </c>
      <c r="F70" s="314" t="s">
        <v>403</v>
      </c>
    </row>
    <row r="71" spans="1:6" x14ac:dyDescent="0.35">
      <c r="A71" s="318"/>
      <c r="B71" s="318"/>
      <c r="C71" s="314"/>
      <c r="D71" s="314"/>
      <c r="E71" s="608"/>
      <c r="F71" s="314"/>
    </row>
    <row r="72" spans="1:6" x14ac:dyDescent="0.35">
      <c r="A72" s="318" t="str">
        <f>IF('Basic Settings'!$B$7='Translation Table (internal)'!$B$1,'Translation Table (internal)'!B72,IF('Basic Settings'!$B$7='Translation Table (internal)'!$C$1,'Translation Table (internal)'!C72,IF('Basic Settings'!$B$7='Translation Table (internal)'!$D$1,'Translation Table (internal)'!D72,IF('Basic Settings'!$B$7='Translation Table (internal)'!$E$1,'Translation Table (internal)'!E72,IF('Basic Settings'!$B$7='Translation Table (internal)'!$F$1,'Translation Table (internal)'!F72,'Translation Table (internal)'!B72)))))</f>
        <v>Evaluation and Report</v>
      </c>
      <c r="B72" s="318" t="s">
        <v>298</v>
      </c>
      <c r="C72" s="317" t="s">
        <v>197</v>
      </c>
      <c r="D72" s="314" t="s">
        <v>491</v>
      </c>
      <c r="E72" s="608" t="s">
        <v>594</v>
      </c>
      <c r="F72" s="314" t="s">
        <v>404</v>
      </c>
    </row>
    <row r="73" spans="1:6" x14ac:dyDescent="0.35">
      <c r="A73" s="318" t="str">
        <f>IF('Basic Settings'!$B$7='Translation Table (internal)'!$B$1,'Translation Table (internal)'!B73,IF('Basic Settings'!$B$7='Translation Table (internal)'!$C$1,'Translation Table (internal)'!C73,IF('Basic Settings'!$B$7='Translation Table (internal)'!$D$1,'Translation Table (internal)'!D73,IF('Basic Settings'!$B$7='Translation Table (internal)'!$E$1,'Translation Table (internal)'!E73,IF('Basic Settings'!$B$7='Translation Table (internal)'!$F$1,'Translation Table (internal)'!F73,'Translation Table (internal)'!B73)))))</f>
        <v>Type of Report:</v>
      </c>
      <c r="B73" s="318" t="s">
        <v>258</v>
      </c>
      <c r="C73" s="317" t="s">
        <v>185</v>
      </c>
      <c r="D73" s="314" t="s">
        <v>492</v>
      </c>
      <c r="E73" s="608" t="s">
        <v>595</v>
      </c>
      <c r="F73" s="314" t="s">
        <v>405</v>
      </c>
    </row>
    <row r="74" spans="1:6" x14ac:dyDescent="0.35">
      <c r="A74" s="318" t="str">
        <f>IF('Basic Settings'!$B$7='Translation Table (internal)'!$B$1,'Translation Table (internal)'!B74,IF('Basic Settings'!$B$7='Translation Table (internal)'!$C$1,'Translation Table (internal)'!C74,IF('Basic Settings'!$B$7='Translation Table (internal)'!$D$1,'Translation Table (internal)'!D74,IF('Basic Settings'!$B$7='Translation Table (internal)'!$E$1,'Translation Table (internal)'!E74,IF('Basic Settings'!$B$7='Translation Table (internal)'!$F$1,'Translation Table (internal)'!F74,'Translation Table (internal)'!B74)))))</f>
        <v>Period from/to:</v>
      </c>
      <c r="B74" s="318" t="s">
        <v>329</v>
      </c>
      <c r="C74" s="317" t="s">
        <v>330</v>
      </c>
      <c r="D74" s="314" t="s">
        <v>493</v>
      </c>
      <c r="E74" s="608" t="s">
        <v>596</v>
      </c>
      <c r="F74" s="314" t="s">
        <v>406</v>
      </c>
    </row>
    <row r="75" spans="1:6" x14ac:dyDescent="0.35">
      <c r="A75" s="318" t="str">
        <f>IF('Basic Settings'!$B$7='Translation Table (internal)'!$B$1,'Translation Table (internal)'!B75,IF('Basic Settings'!$B$7='Translation Table (internal)'!$C$1,'Translation Table (internal)'!C75,IF('Basic Settings'!$B$7='Translation Table (internal)'!$D$1,'Translation Table (internal)'!D75,IF('Basic Settings'!$B$7='Translation Table (internal)'!$E$1,'Translation Table (internal)'!E75,IF('Basic Settings'!$B$7='Translation Table (internal)'!$F$1,'Translation Table (internal)'!F75,'Translation Table (internal)'!B75)))))</f>
        <v>↓ Printing area in DIN A4 square format</v>
      </c>
      <c r="B75" s="318" t="s">
        <v>287</v>
      </c>
      <c r="C75" s="314" t="s">
        <v>91</v>
      </c>
      <c r="D75" s="314" t="s">
        <v>494</v>
      </c>
      <c r="E75" s="608" t="s">
        <v>597</v>
      </c>
      <c r="F75" s="314" t="s">
        <v>409</v>
      </c>
    </row>
    <row r="76" spans="1:6" x14ac:dyDescent="0.35">
      <c r="A76" s="318" t="str">
        <f>IF('Basic Settings'!$B$7='Translation Table (internal)'!$B$1,'Translation Table (internal)'!B76,IF('Basic Settings'!$B$7='Translation Table (internal)'!$C$1,'Translation Table (internal)'!C76,IF('Basic Settings'!$B$7='Translation Table (internal)'!$D$1,'Translation Table (internal)'!D76,IF('Basic Settings'!$B$7='Translation Table (internal)'!$E$1,'Translation Table (internal)'!E76,IF('Basic Settings'!$B$7='Translation Table (internal)'!$F$1,'Translation Table (internal)'!F76,'Translation Table (internal)'!B76)))))</f>
        <v>for the Period</v>
      </c>
      <c r="B76" s="318" t="s">
        <v>259</v>
      </c>
      <c r="C76" s="317" t="s">
        <v>116</v>
      </c>
      <c r="D76" s="314" t="s">
        <v>495</v>
      </c>
      <c r="E76" s="608" t="s">
        <v>598</v>
      </c>
      <c r="F76" s="314" t="s">
        <v>410</v>
      </c>
    </row>
    <row r="77" spans="1:6" x14ac:dyDescent="0.35">
      <c r="A77" s="318" t="str">
        <f>IF('Basic Settings'!$B$7='Translation Table (internal)'!$B$1,'Translation Table (internal)'!B77,IF('Basic Settings'!$B$7='Translation Table (internal)'!$C$1,'Translation Table (internal)'!C77,IF('Basic Settings'!$B$7='Translation Table (internal)'!$D$1,'Translation Table (internal)'!D77,IF('Basic Settings'!$B$7='Translation Table (internal)'!$E$1,'Translation Table (internal)'!E77,IF('Basic Settings'!$B$7='Translation Table (internal)'!$F$1,'Translation Table (internal)'!F77,'Translation Table (internal)'!B77)))))</f>
        <v>until End</v>
      </c>
      <c r="B77" s="318" t="s">
        <v>260</v>
      </c>
      <c r="C77" s="317" t="s">
        <v>89</v>
      </c>
      <c r="D77" s="314" t="s">
        <v>496</v>
      </c>
      <c r="E77" s="608" t="s">
        <v>599</v>
      </c>
      <c r="F77" s="314" t="s">
        <v>411</v>
      </c>
    </row>
    <row r="78" spans="1:6" x14ac:dyDescent="0.35">
      <c r="A78" s="318" t="str">
        <f>IF('Basic Settings'!$B$7='Translation Table (internal)'!$B$1,'Translation Table (internal)'!B78,IF('Basic Settings'!$B$7='Translation Table (internal)'!$C$1,'Translation Table (internal)'!C78,IF('Basic Settings'!$B$7='Translation Table (internal)'!$D$1,'Translation Table (internal)'!D78,IF('Basic Settings'!$B$7='Translation Table (internal)'!$E$1,'Translation Table (internal)'!E78,IF('Basic Settings'!$B$7='Translation Table (internal)'!$F$1,'Translation Table (internal)'!F78,'Translation Table (internal)'!B78)))))</f>
        <v>Comparison: Measured and modelled Load profile</v>
      </c>
      <c r="B78" s="318" t="s">
        <v>261</v>
      </c>
      <c r="C78" s="314" t="s">
        <v>93</v>
      </c>
      <c r="D78" s="314" t="s">
        <v>497</v>
      </c>
      <c r="E78" s="608" t="s">
        <v>600</v>
      </c>
      <c r="F78" s="314" t="s">
        <v>412</v>
      </c>
    </row>
    <row r="79" spans="1:6" x14ac:dyDescent="0.35">
      <c r="A79" s="318" t="str">
        <f>IF('Basic Settings'!$B$7='Translation Table (internal)'!$B$1,'Translation Table (internal)'!B79,IF('Basic Settings'!$B$7='Translation Table (internal)'!$C$1,'Translation Table (internal)'!C79,IF('Basic Settings'!$B$7='Translation Table (internal)'!$D$1,'Translation Table (internal)'!D79,IF('Basic Settings'!$B$7='Translation Table (internal)'!$E$1,'Translation Table (internal)'!E79,IF('Basic Settings'!$B$7='Translation Table (internal)'!$F$1,'Translation Table (internal)'!F79,'Translation Table (internal)'!B79)))))</f>
        <v>Values of Measurements and Modell in the selected Period</v>
      </c>
      <c r="B79" s="318" t="s">
        <v>262</v>
      </c>
      <c r="C79" s="314" t="s">
        <v>117</v>
      </c>
      <c r="D79" s="314" t="s">
        <v>498</v>
      </c>
      <c r="E79" s="608" t="s">
        <v>601</v>
      </c>
      <c r="F79" s="395" t="s">
        <v>417</v>
      </c>
    </row>
    <row r="80" spans="1:6" x14ac:dyDescent="0.35">
      <c r="A80" s="318" t="str">
        <f>IF('Basic Settings'!$B$7='Translation Table (internal)'!$B$1,'Translation Table (internal)'!B80,IF('Basic Settings'!$B$7='Translation Table (internal)'!$C$1,'Translation Table (internal)'!C80,IF('Basic Settings'!$B$7='Translation Table (internal)'!$D$1,'Translation Table (internal)'!D80,IF('Basic Settings'!$B$7='Translation Table (internal)'!$E$1,'Translation Table (internal)'!E80,IF('Basic Settings'!$B$7='Translation Table (internal)'!$F$1,'Translation Table (internal)'!F80,'Translation Table (internal)'!B80)))))</f>
        <v>Times with highest Difference</v>
      </c>
      <c r="B80" s="318" t="s">
        <v>263</v>
      </c>
      <c r="C80" s="314" t="s">
        <v>168</v>
      </c>
      <c r="D80" s="314" t="s">
        <v>499</v>
      </c>
      <c r="E80" s="608" t="s">
        <v>602</v>
      </c>
      <c r="F80" s="314" t="s">
        <v>413</v>
      </c>
    </row>
    <row r="81" spans="1:6" x14ac:dyDescent="0.35">
      <c r="A81" s="318" t="str">
        <f>IF('Basic Settings'!$B$7='Translation Table (internal)'!$B$1,'Translation Table (internal)'!B81,IF('Basic Settings'!$B$7='Translation Table (internal)'!$C$1,'Translation Table (internal)'!C81,IF('Basic Settings'!$B$7='Translation Table (internal)'!$D$1,'Translation Table (internal)'!D81,IF('Basic Settings'!$B$7='Translation Table (internal)'!$E$1,'Translation Table (internal)'!E81,IF('Basic Settings'!$B$7='Translation Table (internal)'!$F$1,'Translation Table (internal)'!F81,'Translation Table (internal)'!B81)))))</f>
        <v>Savings (+) and additional Comsumption (-)</v>
      </c>
      <c r="B81" s="318" t="s">
        <v>264</v>
      </c>
      <c r="C81" s="314" t="s">
        <v>198</v>
      </c>
      <c r="D81" s="314" t="s">
        <v>500</v>
      </c>
      <c r="E81" s="608" t="s">
        <v>603</v>
      </c>
      <c r="F81" s="314" t="s">
        <v>414</v>
      </c>
    </row>
    <row r="82" spans="1:6" x14ac:dyDescent="0.35">
      <c r="A82" s="318" t="str">
        <f>IF('Basic Settings'!$B$7='Translation Table (internal)'!$B$1,'Translation Table (internal)'!B82,IF('Basic Settings'!$B$7='Translation Table (internal)'!$C$1,'Translation Table (internal)'!C82,IF('Basic Settings'!$B$7='Translation Table (internal)'!$D$1,'Translation Table (internal)'!D82,IF('Basic Settings'!$B$7='Translation Table (internal)'!$E$1,'Translation Table (internal)'!E82,IF('Basic Settings'!$B$7='Translation Table (internal)'!$F$1,'Translation Table (internal)'!F82,'Translation Table (internal)'!B82)))))</f>
        <v>Notices:</v>
      </c>
      <c r="B82" s="318" t="s">
        <v>265</v>
      </c>
      <c r="C82" s="314" t="s">
        <v>199</v>
      </c>
      <c r="D82" s="314" t="s">
        <v>501</v>
      </c>
      <c r="E82" s="608" t="s">
        <v>604</v>
      </c>
      <c r="F82" s="314" t="s">
        <v>415</v>
      </c>
    </row>
    <row r="83" spans="1:6" x14ac:dyDescent="0.35">
      <c r="A83" s="318" t="str">
        <f>IF('Basic Settings'!$B$7='Translation Table (internal)'!$B$1,'Translation Table (internal)'!B83,IF('Basic Settings'!$B$7='Translation Table (internal)'!$C$1,'Translation Table (internal)'!C83,IF('Basic Settings'!$B$7='Translation Table (internal)'!$D$1,'Translation Table (internal)'!D83,IF('Basic Settings'!$B$7='Translation Table (internal)'!$E$1,'Translation Table (internal)'!E83,IF('Basic Settings'!$B$7='Translation Table (internal)'!$F$1,'Translation Table (internal)'!F83,'Translation Table (internal)'!B83)))))</f>
        <v>Change of Energy Efficiency</v>
      </c>
      <c r="B83" s="318" t="s">
        <v>266</v>
      </c>
      <c r="C83" s="314" t="s">
        <v>200</v>
      </c>
      <c r="D83" s="314" t="s">
        <v>502</v>
      </c>
      <c r="E83" s="608" t="s">
        <v>605</v>
      </c>
      <c r="F83" s="314" t="s">
        <v>416</v>
      </c>
    </row>
    <row r="84" spans="1:6" x14ac:dyDescent="0.35">
      <c r="A84" s="318" t="str">
        <f>IF('Basic Settings'!$B$7='Translation Table (internal)'!$B$1,'Translation Table (internal)'!B84,IF('Basic Settings'!$B$7='Translation Table (internal)'!$C$1,'Translation Table (internal)'!C84,IF('Basic Settings'!$B$7='Translation Table (internal)'!$D$1,'Translation Table (internal)'!D84,IF('Basic Settings'!$B$7='Translation Table (internal)'!$E$1,'Translation Table (internal)'!E84,IF('Basic Settings'!$B$7='Translation Table (internal)'!$F$1,'Translation Table (internal)'!F84,'Translation Table (internal)'!B84)))))</f>
        <v>Modell</v>
      </c>
      <c r="B84" s="318" t="s">
        <v>202</v>
      </c>
      <c r="C84" s="314" t="s">
        <v>202</v>
      </c>
      <c r="D84" s="314" t="s">
        <v>503</v>
      </c>
      <c r="E84" s="608" t="s">
        <v>606</v>
      </c>
      <c r="F84" s="314" t="s">
        <v>418</v>
      </c>
    </row>
    <row r="85" spans="1:6" x14ac:dyDescent="0.35">
      <c r="A85" s="318" t="str">
        <f>IF('Basic Settings'!$B$7='Translation Table (internal)'!$B$1,'Translation Table (internal)'!B85,IF('Basic Settings'!$B$7='Translation Table (internal)'!$C$1,'Translation Table (internal)'!C85,IF('Basic Settings'!$B$7='Translation Table (internal)'!$D$1,'Translation Table (internal)'!D85,IF('Basic Settings'!$B$7='Translation Table (internal)'!$E$1,'Translation Table (internal)'!E85,IF('Basic Settings'!$B$7='Translation Table (internal)'!$F$1,'Translation Table (internal)'!F85,'Translation Table (internal)'!B85)))))</f>
        <v>Measurement</v>
      </c>
      <c r="B85" s="318" t="s">
        <v>267</v>
      </c>
      <c r="C85" s="314" t="s">
        <v>203</v>
      </c>
      <c r="D85" s="314" t="s">
        <v>504</v>
      </c>
      <c r="E85" s="608" t="s">
        <v>607</v>
      </c>
      <c r="F85" s="314" t="s">
        <v>419</v>
      </c>
    </row>
    <row r="86" spans="1:6" x14ac:dyDescent="0.35">
      <c r="A86" s="318" t="str">
        <f>IF('Basic Settings'!$B$7='Translation Table (internal)'!$B$1,'Translation Table (internal)'!B86,IF('Basic Settings'!$B$7='Translation Table (internal)'!$C$1,'Translation Table (internal)'!C86,IF('Basic Settings'!$B$7='Translation Table (internal)'!$D$1,'Translation Table (internal)'!D86,IF('Basic Settings'!$B$7='Translation Table (internal)'!$E$1,'Translation Table (internal)'!E86,IF('Basic Settings'!$B$7='Translation Table (internal)'!$F$1,'Translation Table (internal)'!F86,'Translation Table (internal)'!B86)))))</f>
        <v>Difference</v>
      </c>
      <c r="B86" s="318" t="s">
        <v>268</v>
      </c>
      <c r="C86" s="314" t="s">
        <v>120</v>
      </c>
      <c r="D86" s="314" t="s">
        <v>505</v>
      </c>
      <c r="E86" s="608" t="s">
        <v>608</v>
      </c>
      <c r="F86" s="314" t="s">
        <v>420</v>
      </c>
    </row>
    <row r="87" spans="1:6" x14ac:dyDescent="0.35">
      <c r="A87" s="318" t="str">
        <f>IF('Basic Settings'!$B$7='Translation Table (internal)'!$B$1,'Translation Table (internal)'!B87,IF('Basic Settings'!$B$7='Translation Table (internal)'!$C$1,'Translation Table (internal)'!C87,IF('Basic Settings'!$B$7='Translation Table (internal)'!$D$1,'Translation Table (internal)'!D87,IF('Basic Settings'!$B$7='Translation Table (internal)'!$E$1,'Translation Table (internal)'!E87,IF('Basic Settings'!$B$7='Translation Table (internal)'!$F$1,'Translation Table (internal)'!F87,'Translation Table (internal)'!B87)))))</f>
        <v>Confidence at 95%</v>
      </c>
      <c r="B87" s="318" t="s">
        <v>269</v>
      </c>
      <c r="C87" s="314" t="s">
        <v>210</v>
      </c>
      <c r="D87" s="314" t="s">
        <v>506</v>
      </c>
      <c r="E87" s="608" t="s">
        <v>609</v>
      </c>
      <c r="F87" s="314" t="s">
        <v>421</v>
      </c>
    </row>
    <row r="88" spans="1:6" x14ac:dyDescent="0.35">
      <c r="A88" s="318" t="str">
        <f>IF('Basic Settings'!$B$7='Translation Table (internal)'!$B$1,'Translation Table (internal)'!B88,IF('Basic Settings'!$B$7='Translation Table (internal)'!$C$1,'Translation Table (internal)'!C88,IF('Basic Settings'!$B$7='Translation Table (internal)'!$D$1,'Translation Table (internal)'!D88,IF('Basic Settings'!$B$7='Translation Table (internal)'!$E$1,'Translation Table (internal)'!E88,IF('Basic Settings'!$B$7='Translation Table (internal)'!$F$1,'Translation Table (internal)'!F88,'Translation Table (internal)'!B88)))))</f>
        <v>Cumulated Error</v>
      </c>
      <c r="B88" s="318" t="s">
        <v>270</v>
      </c>
      <c r="C88" s="315" t="s">
        <v>39</v>
      </c>
      <c r="D88" s="314" t="s">
        <v>507</v>
      </c>
      <c r="E88" s="608" t="s">
        <v>610</v>
      </c>
      <c r="F88" s="314" t="s">
        <v>422</v>
      </c>
    </row>
    <row r="89" spans="1:6" x14ac:dyDescent="0.35">
      <c r="A89" s="318" t="str">
        <f>IF('Basic Settings'!$B$7='Translation Table (internal)'!$B$1,'Translation Table (internal)'!B89,IF('Basic Settings'!$B$7='Translation Table (internal)'!$C$1,'Translation Table (internal)'!C89,IF('Basic Settings'!$B$7='Translation Table (internal)'!$D$1,'Translation Table (internal)'!D89,IF('Basic Settings'!$B$7='Translation Table (internal)'!$E$1,'Translation Table (internal)'!E89,IF('Basic Settings'!$B$7='Translation Table (internal)'!$F$1,'Translation Table (internal)'!F89,'Translation Table (internal)'!B89)))))</f>
        <v>CUSUM as Cumulated Sum of Changes in Energy Consumption</v>
      </c>
      <c r="B89" s="318" t="s">
        <v>271</v>
      </c>
      <c r="C89" s="314" t="s">
        <v>121</v>
      </c>
      <c r="D89" s="314" t="s">
        <v>508</v>
      </c>
      <c r="E89" s="608" t="s">
        <v>611</v>
      </c>
      <c r="F89" s="314" t="s">
        <v>423</v>
      </c>
    </row>
    <row r="90" spans="1:6" x14ac:dyDescent="0.35">
      <c r="A90" s="318" t="str">
        <f>IF('Basic Settings'!$B$7='Translation Table (internal)'!$B$1,'Translation Table (internal)'!B90,IF('Basic Settings'!$B$7='Translation Table (internal)'!$C$1,'Translation Table (internal)'!C90,IF('Basic Settings'!$B$7='Translation Table (internal)'!$D$1,'Translation Table (internal)'!D90,IF('Basic Settings'!$B$7='Translation Table (internal)'!$E$1,'Translation Table (internal)'!E90,IF('Basic Settings'!$B$7='Translation Table (internal)'!$F$1,'Translation Table (internal)'!F90,'Translation Table (internal)'!B90)))))</f>
        <v>Evaluation of Model</v>
      </c>
      <c r="B90" s="318" t="s">
        <v>272</v>
      </c>
      <c r="C90" s="314" t="s">
        <v>211</v>
      </c>
      <c r="D90" s="314" t="s">
        <v>509</v>
      </c>
      <c r="E90" s="608" t="s">
        <v>612</v>
      </c>
      <c r="F90" s="314" t="s">
        <v>424</v>
      </c>
    </row>
    <row r="91" spans="1:6" x14ac:dyDescent="0.35">
      <c r="A91" s="318" t="str">
        <f>IF('Basic Settings'!$B$7='Translation Table (internal)'!$B$1,'Translation Table (internal)'!B91,IF('Basic Settings'!$B$7='Translation Table (internal)'!$C$1,'Translation Table (internal)'!C91,IF('Basic Settings'!$B$7='Translation Table (internal)'!$D$1,'Translation Table (internal)'!D91,IF('Basic Settings'!$B$7='Translation Table (internal)'!$E$1,'Translation Table (internal)'!E91,IF('Basic Settings'!$B$7='Translation Table (internal)'!$F$1,'Translation Table (internal)'!F91,'Translation Table (internal)'!B91)))))</f>
        <v>Report</v>
      </c>
      <c r="B91" s="318" t="s">
        <v>275</v>
      </c>
      <c r="C91" s="314" t="s">
        <v>275</v>
      </c>
      <c r="D91" s="314" t="s">
        <v>510</v>
      </c>
      <c r="E91" s="608" t="s">
        <v>613</v>
      </c>
      <c r="F91" s="314" t="s">
        <v>425</v>
      </c>
    </row>
    <row r="92" spans="1:6" x14ac:dyDescent="0.35">
      <c r="A92" s="318" t="str">
        <f>IF('Basic Settings'!$B$7='Translation Table (internal)'!$B$1,'Translation Table (internal)'!B92,IF('Basic Settings'!$B$7='Translation Table (internal)'!$C$1,'Translation Table (internal)'!C92,IF('Basic Settings'!$B$7='Translation Table (internal)'!$D$1,'Translation Table (internal)'!D92,IF('Basic Settings'!$B$7='Translation Table (internal)'!$E$1,'Translation Table (internal)'!E92,IF('Basic Settings'!$B$7='Translation Table (internal)'!$F$1,'Translation Table (internal)'!F92,'Translation Table (internal)'!B92)))))</f>
        <v>for the System:</v>
      </c>
      <c r="B92" s="318" t="s">
        <v>327</v>
      </c>
      <c r="C92" s="314" t="s">
        <v>328</v>
      </c>
      <c r="D92" s="314" t="s">
        <v>511</v>
      </c>
      <c r="E92" s="608" t="s">
        <v>614</v>
      </c>
      <c r="F92" s="314" t="s">
        <v>426</v>
      </c>
    </row>
    <row r="93" spans="1:6" x14ac:dyDescent="0.35">
      <c r="A93" s="318" t="str">
        <f>IF('Basic Settings'!$B$7='Translation Table (internal)'!$B$1,'Translation Table (internal)'!B93,IF('Basic Settings'!$B$7='Translation Table (internal)'!$C$1,'Translation Table (internal)'!C93,IF('Basic Settings'!$B$7='Translation Table (internal)'!$D$1,'Translation Table (internal)'!D93,IF('Basic Settings'!$B$7='Translation Table (internal)'!$E$1,'Translation Table (internal)'!E93,IF('Basic Settings'!$B$7='Translation Table (internal)'!$F$1,'Translation Table (internal)'!F93,'Translation Table (internal)'!B93)))))</f>
        <v>Savings target was</v>
      </c>
      <c r="B93" s="402" t="s">
        <v>288</v>
      </c>
      <c r="C93" s="322" t="s">
        <v>289</v>
      </c>
      <c r="D93" s="314" t="s">
        <v>512</v>
      </c>
      <c r="E93" s="608" t="s">
        <v>615</v>
      </c>
      <c r="F93" s="322" t="s">
        <v>427</v>
      </c>
    </row>
    <row r="94" spans="1:6" x14ac:dyDescent="0.35">
      <c r="A94" s="318" t="str">
        <f>IF('Basic Settings'!$B$7='Translation Table (internal)'!$B$1,'Translation Table (internal)'!B94,IF('Basic Settings'!$B$7='Translation Table (internal)'!$C$1,'Translation Table (internal)'!C94,IF('Basic Settings'!$B$7='Translation Table (internal)'!$D$1,'Translation Table (internal)'!D94,IF('Basic Settings'!$B$7='Translation Table (internal)'!$E$1,'Translation Table (internal)'!E94,IF('Basic Settings'!$B$7='Translation Table (internal)'!$F$1,'Translation Table (internal)'!F94,'Translation Table (internal)'!B94)))))</f>
        <v>Savings target was overachieved in this Period</v>
      </c>
      <c r="B94" s="318" t="s">
        <v>290</v>
      </c>
      <c r="C94" s="314" t="s">
        <v>292</v>
      </c>
      <c r="D94" s="314" t="s">
        <v>513</v>
      </c>
      <c r="E94" s="608" t="s">
        <v>616</v>
      </c>
      <c r="F94" s="314" t="s">
        <v>428</v>
      </c>
    </row>
    <row r="95" spans="1:6" x14ac:dyDescent="0.35">
      <c r="A95" s="318" t="str">
        <f>IF('Basic Settings'!$B$7='Translation Table (internal)'!$B$1,'Translation Table (internal)'!B95,IF('Basic Settings'!$B$7='Translation Table (internal)'!$C$1,'Translation Table (internal)'!C95,IF('Basic Settings'!$B$7='Translation Table (internal)'!$D$1,'Translation Table (internal)'!D95,IF('Basic Settings'!$B$7='Translation Table (internal)'!$E$1,'Translation Table (internal)'!E95,IF('Basic Settings'!$B$7='Translation Table (internal)'!$F$1,'Translation Table (internal)'!F95,'Translation Table (internal)'!B95)))))</f>
        <v>Savings target was achieved in this Period</v>
      </c>
      <c r="B95" s="318" t="s">
        <v>291</v>
      </c>
      <c r="C95" s="314" t="s">
        <v>293</v>
      </c>
      <c r="D95" s="314" t="s">
        <v>514</v>
      </c>
      <c r="E95" s="608" t="s">
        <v>617</v>
      </c>
      <c r="F95" s="314" t="s">
        <v>429</v>
      </c>
    </row>
    <row r="96" spans="1:6" x14ac:dyDescent="0.35">
      <c r="A96" s="318" t="str">
        <f>IF('Basic Settings'!$B$7='Translation Table (internal)'!$B$1,'Translation Table (internal)'!B96,IF('Basic Settings'!$B$7='Translation Table (internal)'!$C$1,'Translation Table (internal)'!C96,IF('Basic Settings'!$B$7='Translation Table (internal)'!$D$1,'Translation Table (internal)'!D96,IF('Basic Settings'!$B$7='Translation Table (internal)'!$E$1,'Translation Table (internal)'!E96,IF('Basic Settings'!$B$7='Translation Table (internal)'!$F$1,'Translation Table (internal)'!F96,'Translation Table (internal)'!B96)))))</f>
        <v>Savings target was not yet achieved in this Period</v>
      </c>
      <c r="B96" s="318" t="s">
        <v>295</v>
      </c>
      <c r="C96" s="314" t="s">
        <v>294</v>
      </c>
      <c r="D96" s="314" t="s">
        <v>515</v>
      </c>
      <c r="E96" s="608" t="s">
        <v>618</v>
      </c>
      <c r="F96" s="314" t="s">
        <v>430</v>
      </c>
    </row>
    <row r="97" spans="1:6" x14ac:dyDescent="0.35">
      <c r="A97" s="318">
        <f>IF('Basic Settings'!$B$7='Translation Table (internal)'!$B$1,'Translation Table (internal)'!B97,IF('Basic Settings'!$B$7='Translation Table (internal)'!$C$1,'Translation Table (internal)'!C97,IF('Basic Settings'!$B$7='Translation Table (internal)'!$D$1,'Translation Table (internal)'!D97,IF('Basic Settings'!$B$7='Translation Table (internal)'!$E$1,'Translation Table (internal)'!E97,IF('Basic Settings'!$B$7='Translation Table (internal)'!$F$1,'Translation Table (internal)'!F97,'Translation Table (internal)'!B97)))))</f>
        <v>0</v>
      </c>
      <c r="B97" s="318"/>
      <c r="C97" s="314"/>
      <c r="D97" s="314"/>
      <c r="E97" s="608"/>
      <c r="F97" s="314"/>
    </row>
    <row r="98" spans="1:6" x14ac:dyDescent="0.35">
      <c r="A98" s="318" t="str">
        <f>IF('Basic Settings'!$B$7='Translation Table (internal)'!$B$1,'Translation Table (internal)'!B98,IF('Basic Settings'!$B$7='Translation Table (internal)'!$C$1,'Translation Table (internal)'!C98,IF('Basic Settings'!$B$7='Translation Table (internal)'!$D$1,'Translation Table (internal)'!D98,IF('Basic Settings'!$B$7='Translation Table (internal)'!$E$1,'Translation Table (internal)'!E98,IF('Basic Settings'!$B$7='Translation Table (internal)'!$F$1,'Translation Table (internal)'!F98,'Translation Table (internal)'!B98)))))</f>
        <v>Disclaimer</v>
      </c>
      <c r="B98" s="403" t="s">
        <v>314</v>
      </c>
      <c r="C98" s="399" t="s">
        <v>315</v>
      </c>
      <c r="D98" s="314" t="s">
        <v>516</v>
      </c>
      <c r="E98" s="608" t="s">
        <v>619</v>
      </c>
      <c r="F98" s="399" t="s">
        <v>314</v>
      </c>
    </row>
    <row r="99" spans="1:6" ht="72.5" x14ac:dyDescent="0.35">
      <c r="A99" s="318" t="str">
        <f>IF('Basic Settings'!$B$7='Translation Table (internal)'!$B$1,'Translation Table (internal)'!B99,IF('Basic Settings'!$B$7='Translation Table (internal)'!$C$1,'Translation Table (internal)'!C99,IF('Basic Settings'!$B$7='Translation Table (internal)'!$D$1,'Translation Table (internal)'!D99,IF('Basic Settings'!$B$7='Translation Table (internal)'!$E$1,'Translation Table (internal)'!E99,IF('Basic Settings'!$B$7='Translation Table (internal)'!$F$1,'Translation Table (internal)'!F99,'Translation Table (internal)'!B99)))))</f>
        <v>The use of this software is intended exclusively for training purposes within the framework of the INDUCE project.
No liability is assumed for the results/calculations, unless ÖKOTEC has acted with intent or gross negligence in providing the results.</v>
      </c>
      <c r="B99" s="398" t="s">
        <v>331</v>
      </c>
      <c r="C99" s="395" t="s">
        <v>332</v>
      </c>
      <c r="D99" s="314" t="s">
        <v>517</v>
      </c>
      <c r="E99" s="609" t="s">
        <v>620</v>
      </c>
      <c r="F99" s="395" t="s">
        <v>391</v>
      </c>
    </row>
    <row r="100" spans="1:6" x14ac:dyDescent="0.35">
      <c r="A100" s="318" t="str">
        <f>IF('Basic Settings'!$B$7='Translation Table (internal)'!$B$1,'Translation Table (internal)'!B100,IF('Basic Settings'!$B$7='Translation Table (internal)'!$C$1,'Translation Table (internal)'!C100,IF('Basic Settings'!$B$7='Translation Table (internal)'!$D$1,'Translation Table (internal)'!D100,IF('Basic Settings'!$B$7='Translation Table (internal)'!$E$1,'Translation Table (internal)'!E100,IF('Basic Settings'!$B$7='Translation Table (internal)'!$F$1,'Translation Table (internal)'!F100,'Translation Table (internal)'!B100)))))</f>
        <v>Copyright and rights of use</v>
      </c>
      <c r="B100" s="403" t="s">
        <v>317</v>
      </c>
      <c r="C100" s="316" t="s">
        <v>316</v>
      </c>
      <c r="D100" s="314" t="s">
        <v>518</v>
      </c>
      <c r="E100" s="608" t="s">
        <v>621</v>
      </c>
      <c r="F100" s="399" t="s">
        <v>407</v>
      </c>
    </row>
    <row r="101" spans="1:6" ht="199.5" customHeight="1" x14ac:dyDescent="0.35">
      <c r="A101" s="318" t="str">
        <f>IF('Basic Settings'!$B$7='Translation Table (internal)'!$B$1,'Translation Table (internal)'!B101,IF('Basic Settings'!$B$7='Translation Table (internal)'!$C$1,'Translation Table (internal)'!C101,IF('Basic Settings'!$B$7='Translation Table (internal)'!$D$1,'Translation Table (internal)'!D101,IF('Basic Settings'!$B$7='Translation Table (internal)'!$E$1,'Translation Table (internal)'!E101,IF('Basic Settings'!$B$7='Translation Table (internal)'!$F$1,'Translation Table (internal)'!F101,'Translation Table (internal)'!B101)))))</f>
        <v>All copyrights for this software are held by ÖKOTEC Energiemanagement GmbH, Torgauer Straße 12-15, 10829 Berlin, Germany, which developed this software as part of the INDUCE project. The participants of trainings in which this tool is used are allowed to continue using this software within their own company. The use for consulting of third parties is not permitted. Changes to the tool may not be made without the express prior consent of ÖKOTEC Energiemanagement GmbH. The transfer of this software to third parties outside the INDUCE project is not permitted without the express prior consent of ÖKOTEC Energiemanagement GmbH.</v>
      </c>
      <c r="B101" s="398" t="s">
        <v>333</v>
      </c>
      <c r="C101" s="396" t="s">
        <v>334</v>
      </c>
      <c r="D101" s="314" t="s">
        <v>519</v>
      </c>
      <c r="E101" s="609" t="s">
        <v>622</v>
      </c>
      <c r="F101" s="396" t="s">
        <v>408</v>
      </c>
    </row>
    <row r="102" spans="1:6" x14ac:dyDescent="0.35">
      <c r="A102" s="318" t="str">
        <f>IF('Basic Settings'!$B$7='Translation Table (internal)'!$B$1,'Translation Table (internal)'!B102,IF('Basic Settings'!$B$7='Translation Table (internal)'!$C$1,'Translation Table (internal)'!C102,IF('Basic Settings'!$B$7='Translation Table (internal)'!$D$1,'Translation Table (internal)'!D102,IF('Basic Settings'!$B$7='Translation Table (internal)'!$E$1,'Translation Table (internal)'!E102,IF('Basic Settings'!$B$7='Translation Table (internal)'!$F$1,'Translation Table (internal)'!F102,'Translation Table (internal)'!B102)))))</f>
        <v>Author</v>
      </c>
      <c r="B102" s="318" t="s">
        <v>320</v>
      </c>
      <c r="C102" s="314" t="s">
        <v>318</v>
      </c>
      <c r="D102" s="314" t="s">
        <v>318</v>
      </c>
      <c r="E102" s="608" t="s">
        <v>389</v>
      </c>
      <c r="F102" s="314" t="s">
        <v>389</v>
      </c>
    </row>
    <row r="103" spans="1:6" x14ac:dyDescent="0.35">
      <c r="A103" s="318" t="str">
        <f>IF('Basic Settings'!$B$7='Translation Table (internal)'!$B$1,'Translation Table (internal)'!B103,IF('Basic Settings'!$B$7='Translation Table (internal)'!$C$1,'Translation Table (internal)'!C103,IF('Basic Settings'!$B$7='Translation Table (internal)'!$D$1,'Translation Table (internal)'!D103,IF('Basic Settings'!$B$7='Translation Table (internal)'!$E$1,'Translation Table (internal)'!E103,IF('Basic Settings'!$B$7='Translation Table (internal)'!$F$1,'Translation Table (internal)'!F103,'Translation Table (internal)'!B103)))))</f>
        <v>E-Mail</v>
      </c>
      <c r="B103" s="318" t="s">
        <v>319</v>
      </c>
      <c r="C103" s="314" t="s">
        <v>319</v>
      </c>
      <c r="D103" s="314" t="s">
        <v>319</v>
      </c>
      <c r="E103" s="608" t="s">
        <v>390</v>
      </c>
      <c r="F103" s="314" t="s">
        <v>390</v>
      </c>
    </row>
    <row r="104" spans="1:6" x14ac:dyDescent="0.35">
      <c r="B104" s="314"/>
      <c r="C104" s="314"/>
      <c r="D104" s="314"/>
      <c r="E104" s="314"/>
      <c r="F104" s="314"/>
    </row>
    <row r="105" spans="1:6" x14ac:dyDescent="0.35">
      <c r="B105" s="314"/>
      <c r="C105" s="314"/>
      <c r="D105" s="314"/>
      <c r="E105" s="314"/>
      <c r="F105" s="314"/>
    </row>
    <row r="106" spans="1:6" x14ac:dyDescent="0.35">
      <c r="B106" s="314"/>
      <c r="C106" s="314"/>
      <c r="D106" s="314"/>
      <c r="E106" s="314"/>
      <c r="F106" s="314"/>
    </row>
    <row r="107" spans="1:6" x14ac:dyDescent="0.35">
      <c r="B107" s="314"/>
      <c r="C107" s="314"/>
      <c r="D107" s="314"/>
      <c r="E107" s="314"/>
      <c r="F107" s="314"/>
    </row>
    <row r="108" spans="1:6" x14ac:dyDescent="0.35">
      <c r="B108" s="314"/>
      <c r="C108" s="314"/>
      <c r="D108" s="314"/>
      <c r="E108" s="314"/>
      <c r="F108" s="314"/>
    </row>
    <row r="109" spans="1:6" x14ac:dyDescent="0.35">
      <c r="B109" s="314"/>
      <c r="C109" s="314"/>
      <c r="D109" s="314"/>
      <c r="E109" s="314"/>
      <c r="F109" s="314"/>
    </row>
    <row r="110" spans="1:6" x14ac:dyDescent="0.35">
      <c r="B110" s="314"/>
      <c r="C110" s="314"/>
      <c r="D110" s="314"/>
      <c r="E110" s="314"/>
      <c r="F110" s="314"/>
    </row>
    <row r="111" spans="1:6" x14ac:dyDescent="0.35">
      <c r="B111" s="314"/>
      <c r="C111" s="314"/>
      <c r="D111" s="314"/>
      <c r="E111" s="314"/>
      <c r="F111" s="314"/>
    </row>
    <row r="112" spans="1:6" x14ac:dyDescent="0.35">
      <c r="B112" s="314"/>
      <c r="C112" s="314"/>
      <c r="D112" s="314"/>
      <c r="E112" s="314"/>
      <c r="F112" s="314"/>
    </row>
    <row r="113" spans="2:6" x14ac:dyDescent="0.35">
      <c r="B113" s="314"/>
      <c r="C113" s="314"/>
      <c r="D113" s="314"/>
      <c r="E113" s="314"/>
      <c r="F113" s="314"/>
    </row>
    <row r="114" spans="2:6" x14ac:dyDescent="0.35">
      <c r="B114" s="314"/>
      <c r="C114" s="314"/>
      <c r="D114" s="314"/>
      <c r="E114" s="314"/>
      <c r="F114" s="314"/>
    </row>
    <row r="115" spans="2:6" x14ac:dyDescent="0.35">
      <c r="B115" s="314"/>
      <c r="C115" s="314"/>
      <c r="D115" s="314"/>
      <c r="E115" s="314"/>
      <c r="F115" s="314"/>
    </row>
    <row r="116" spans="2:6" x14ac:dyDescent="0.35">
      <c r="B116" s="314"/>
      <c r="C116" s="314"/>
      <c r="D116" s="314"/>
      <c r="E116" s="314"/>
      <c r="F116" s="314"/>
    </row>
    <row r="117" spans="2:6" x14ac:dyDescent="0.35">
      <c r="B117" s="314"/>
      <c r="C117" s="314"/>
      <c r="D117" s="314"/>
      <c r="E117" s="314"/>
      <c r="F117" s="314"/>
    </row>
    <row r="118" spans="2:6" x14ac:dyDescent="0.35">
      <c r="B118" s="314"/>
      <c r="C118" s="314"/>
      <c r="D118" s="314"/>
      <c r="E118" s="314"/>
      <c r="F118" s="314"/>
    </row>
    <row r="119" spans="2:6" x14ac:dyDescent="0.35">
      <c r="B119" s="314"/>
      <c r="C119" s="314"/>
      <c r="D119" s="314"/>
      <c r="E119" s="314"/>
      <c r="F119" s="314"/>
    </row>
    <row r="120" spans="2:6" x14ac:dyDescent="0.35">
      <c r="B120" s="314"/>
      <c r="C120" s="314"/>
      <c r="D120" s="314"/>
      <c r="E120" s="314"/>
      <c r="F120" s="314"/>
    </row>
    <row r="121" spans="2:6" x14ac:dyDescent="0.35">
      <c r="B121" s="314"/>
      <c r="C121" s="314"/>
      <c r="D121" s="314"/>
      <c r="E121" s="314"/>
      <c r="F121" s="314"/>
    </row>
    <row r="122" spans="2:6" x14ac:dyDescent="0.35">
      <c r="B122" s="314"/>
      <c r="C122" s="314"/>
      <c r="D122" s="314"/>
      <c r="E122" s="314"/>
      <c r="F122" s="314"/>
    </row>
    <row r="123" spans="2:6" x14ac:dyDescent="0.35">
      <c r="B123" s="314"/>
      <c r="C123" s="314"/>
      <c r="D123" s="314"/>
      <c r="E123" s="314"/>
      <c r="F123" s="314"/>
    </row>
    <row r="124" spans="2:6" x14ac:dyDescent="0.35">
      <c r="B124" s="314"/>
      <c r="C124" s="314"/>
      <c r="D124" s="314"/>
      <c r="E124" s="314"/>
      <c r="F124" s="314"/>
    </row>
    <row r="125" spans="2:6" x14ac:dyDescent="0.35">
      <c r="B125" s="314"/>
      <c r="C125" s="314"/>
      <c r="D125" s="314"/>
      <c r="E125" s="314"/>
      <c r="F125" s="314"/>
    </row>
    <row r="126" spans="2:6" x14ac:dyDescent="0.35">
      <c r="B126" s="314"/>
      <c r="C126" s="314"/>
      <c r="D126" s="314"/>
      <c r="E126" s="314"/>
      <c r="F126" s="314"/>
    </row>
    <row r="127" spans="2:6" x14ac:dyDescent="0.35">
      <c r="B127" s="314"/>
      <c r="C127" s="314"/>
      <c r="D127" s="314"/>
      <c r="E127" s="314"/>
      <c r="F127" s="314"/>
    </row>
    <row r="128" spans="2:6" x14ac:dyDescent="0.35">
      <c r="B128" s="314"/>
      <c r="C128" s="314"/>
      <c r="D128" s="314"/>
      <c r="E128" s="314"/>
      <c r="F128" s="314"/>
    </row>
    <row r="129" spans="2:6" x14ac:dyDescent="0.35">
      <c r="B129" s="314"/>
      <c r="C129" s="314"/>
      <c r="D129" s="314"/>
      <c r="E129" s="314"/>
      <c r="F129" s="314"/>
    </row>
    <row r="130" spans="2:6" x14ac:dyDescent="0.35">
      <c r="B130" s="314"/>
      <c r="C130" s="314"/>
      <c r="D130" s="314"/>
      <c r="E130" s="314"/>
      <c r="F130" s="314"/>
    </row>
    <row r="131" spans="2:6" x14ac:dyDescent="0.35">
      <c r="B131" s="314"/>
      <c r="C131" s="314"/>
      <c r="D131" s="314"/>
      <c r="E131" s="314"/>
      <c r="F131" s="314"/>
    </row>
    <row r="132" spans="2:6" x14ac:dyDescent="0.35">
      <c r="B132" s="314"/>
      <c r="C132" s="314"/>
      <c r="D132" s="314"/>
      <c r="E132" s="314"/>
      <c r="F132" s="314"/>
    </row>
    <row r="133" spans="2:6" x14ac:dyDescent="0.35">
      <c r="B133" s="314"/>
      <c r="C133" s="314"/>
      <c r="D133" s="314"/>
      <c r="E133" s="314"/>
      <c r="F133" s="314"/>
    </row>
    <row r="134" spans="2:6" x14ac:dyDescent="0.35">
      <c r="B134" s="314"/>
      <c r="C134" s="314"/>
      <c r="D134" s="314"/>
      <c r="E134" s="314"/>
      <c r="F134" s="314"/>
    </row>
    <row r="135" spans="2:6" x14ac:dyDescent="0.35">
      <c r="B135" s="314"/>
      <c r="C135" s="314"/>
      <c r="D135" s="314"/>
      <c r="E135" s="314"/>
      <c r="F135" s="314"/>
    </row>
    <row r="136" spans="2:6" x14ac:dyDescent="0.35">
      <c r="B136" s="314"/>
      <c r="C136" s="314"/>
      <c r="D136" s="314"/>
      <c r="E136" s="314"/>
      <c r="F136" s="314"/>
    </row>
    <row r="137" spans="2:6" x14ac:dyDescent="0.35">
      <c r="B137" s="314"/>
      <c r="C137" s="314"/>
      <c r="D137" s="314"/>
      <c r="E137" s="314"/>
      <c r="F137" s="314"/>
    </row>
    <row r="138" spans="2:6" x14ac:dyDescent="0.35">
      <c r="B138" s="314"/>
      <c r="C138" s="314"/>
      <c r="D138" s="314"/>
      <c r="E138" s="314"/>
      <c r="F138" s="314"/>
    </row>
    <row r="139" spans="2:6" x14ac:dyDescent="0.35">
      <c r="B139" s="314"/>
      <c r="C139" s="314"/>
      <c r="D139" s="314"/>
      <c r="E139" s="314"/>
      <c r="F139" s="314"/>
    </row>
    <row r="140" spans="2:6" x14ac:dyDescent="0.35">
      <c r="B140" s="314"/>
      <c r="C140" s="314"/>
      <c r="D140" s="314"/>
      <c r="E140" s="314"/>
      <c r="F140" s="314"/>
    </row>
    <row r="141" spans="2:6" x14ac:dyDescent="0.35">
      <c r="B141" s="314"/>
      <c r="C141" s="314"/>
      <c r="D141" s="314"/>
      <c r="E141" s="314"/>
      <c r="F141" s="314"/>
    </row>
    <row r="142" spans="2:6" x14ac:dyDescent="0.35">
      <c r="B142" s="314"/>
      <c r="C142" s="314"/>
      <c r="D142" s="314"/>
      <c r="E142" s="314"/>
      <c r="F142" s="314"/>
    </row>
    <row r="143" spans="2:6" x14ac:dyDescent="0.35">
      <c r="B143" s="314"/>
      <c r="C143" s="314"/>
      <c r="D143" s="314"/>
      <c r="E143" s="314"/>
      <c r="F143" s="314"/>
    </row>
    <row r="144" spans="2:6" x14ac:dyDescent="0.35">
      <c r="B144" s="314"/>
      <c r="C144" s="314"/>
      <c r="D144" s="314"/>
      <c r="E144" s="314"/>
      <c r="F144" s="314"/>
    </row>
    <row r="145" spans="2:6" x14ac:dyDescent="0.35">
      <c r="B145" s="314"/>
      <c r="C145" s="314"/>
      <c r="D145" s="314"/>
      <c r="E145" s="314"/>
      <c r="F145" s="314"/>
    </row>
    <row r="146" spans="2:6" x14ac:dyDescent="0.35">
      <c r="B146" s="314"/>
      <c r="C146" s="314"/>
      <c r="D146" s="314"/>
      <c r="E146" s="314"/>
      <c r="F146" s="314"/>
    </row>
    <row r="147" spans="2:6" x14ac:dyDescent="0.35">
      <c r="B147" s="314"/>
      <c r="C147" s="314"/>
      <c r="D147" s="314"/>
      <c r="E147" s="314"/>
      <c r="F147" s="314"/>
    </row>
    <row r="148" spans="2:6" x14ac:dyDescent="0.35">
      <c r="B148" s="314"/>
      <c r="C148" s="314"/>
      <c r="D148" s="314"/>
      <c r="E148" s="314"/>
      <c r="F148" s="314"/>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rgb="FF92D050"/>
  </sheetPr>
  <dimension ref="B2:K25"/>
  <sheetViews>
    <sheetView showGridLines="0" workbookViewId="0">
      <selection activeCell="K14" sqref="K14"/>
    </sheetView>
  </sheetViews>
  <sheetFormatPr baseColWidth="10" defaultColWidth="11.453125" defaultRowHeight="14.5" x14ac:dyDescent="0.35"/>
  <cols>
    <col min="1" max="1" width="2.81640625" style="4" customWidth="1"/>
    <col min="2" max="2" width="7.81640625" style="4" customWidth="1"/>
    <col min="3" max="3" width="11.453125" style="4"/>
    <col min="4" max="4" width="8.453125" style="4" customWidth="1"/>
    <col min="5" max="5" width="11.453125" style="4"/>
    <col min="6" max="6" width="15" style="4" customWidth="1"/>
    <col min="7" max="16384" width="11.453125" style="4"/>
  </cols>
  <sheetData>
    <row r="2" spans="2:11" ht="23" x14ac:dyDescent="0.35">
      <c r="E2" s="334" t="str">
        <f>'Translation Table (internal)'!A3</f>
        <v>Energy Target Tracker</v>
      </c>
    </row>
    <row r="3" spans="2:11" ht="8.25" customHeight="1" x14ac:dyDescent="0.35">
      <c r="E3" s="302"/>
    </row>
    <row r="4" spans="2:11" x14ac:dyDescent="0.35">
      <c r="G4" s="327" t="str">
        <f>CONCATENATE('Translation Table (internal)'!A7," Georg Ratjen (g.ratjen@oekotec.de)")</f>
        <v>Questions? Contact Author: Georg Ratjen (g.ratjen@oekotec.de)</v>
      </c>
    </row>
    <row r="6" spans="2:11" ht="15.75" customHeight="1" thickBot="1" x14ac:dyDescent="0.4">
      <c r="B6" s="309" t="str">
        <f>'Translation Table (internal)'!A2</f>
        <v>Select Language</v>
      </c>
    </row>
    <row r="7" spans="2:11" ht="15" thickBot="1" x14ac:dyDescent="0.4">
      <c r="B7" s="476" t="s">
        <v>189</v>
      </c>
      <c r="C7" s="474"/>
      <c r="D7" s="475"/>
    </row>
    <row r="8" spans="2:11" ht="9" customHeight="1" x14ac:dyDescent="0.35"/>
    <row r="9" spans="2:11" ht="13.5" customHeight="1" x14ac:dyDescent="0.35"/>
    <row r="10" spans="2:11" ht="15" thickBot="1" x14ac:dyDescent="0.4">
      <c r="B10" s="319" t="str">
        <f>'Translation Table (internal)'!A4</f>
        <v>Name of the System to be monitored</v>
      </c>
    </row>
    <row r="11" spans="2:11" ht="15" thickBot="1" x14ac:dyDescent="0.4">
      <c r="B11" s="472" t="s">
        <v>301</v>
      </c>
      <c r="C11" s="474"/>
      <c r="D11" s="474"/>
      <c r="E11" s="474"/>
      <c r="F11" s="474"/>
      <c r="G11" s="475"/>
      <c r="H11" s="221"/>
    </row>
    <row r="12" spans="2:11" ht="15" thickBot="1" x14ac:dyDescent="0.4">
      <c r="K12" s="308"/>
    </row>
    <row r="13" spans="2:11" ht="15" thickBot="1" x14ac:dyDescent="0.4">
      <c r="B13" s="319" t="str">
        <f>'Translation Table (internal)'!A5</f>
        <v>Energy Savings target in comparison to Reference Situation</v>
      </c>
      <c r="G13" s="320">
        <v>0.02</v>
      </c>
      <c r="K13" s="308"/>
    </row>
    <row r="15" spans="2:11" ht="15" thickBot="1" x14ac:dyDescent="0.4">
      <c r="B15" s="319" t="str">
        <f>'Translation Table (internal)'!A6</f>
        <v>People Responsible for achievement of that Target</v>
      </c>
    </row>
    <row r="16" spans="2:11" ht="15" thickBot="1" x14ac:dyDescent="0.4">
      <c r="B16" s="472" t="s">
        <v>302</v>
      </c>
      <c r="C16" s="473"/>
      <c r="D16" s="473"/>
      <c r="E16" s="473"/>
      <c r="F16" s="474"/>
      <c r="G16" s="475"/>
    </row>
    <row r="17" spans="2:11" ht="15" thickBot="1" x14ac:dyDescent="0.4">
      <c r="B17" s="472" t="s">
        <v>303</v>
      </c>
      <c r="C17" s="473"/>
      <c r="D17" s="473"/>
      <c r="E17" s="473"/>
      <c r="F17" s="474"/>
      <c r="G17" s="475"/>
    </row>
    <row r="18" spans="2:11" ht="15" thickBot="1" x14ac:dyDescent="0.4">
      <c r="B18" s="472" t="s">
        <v>304</v>
      </c>
      <c r="C18" s="473"/>
      <c r="D18" s="473"/>
      <c r="E18" s="473"/>
      <c r="F18" s="474"/>
      <c r="G18" s="475"/>
    </row>
    <row r="19" spans="2:11" ht="15" thickBot="1" x14ac:dyDescent="0.4">
      <c r="B19" s="472" t="s">
        <v>307</v>
      </c>
      <c r="C19" s="473"/>
      <c r="D19" s="473"/>
      <c r="E19" s="473"/>
      <c r="F19" s="474"/>
      <c r="G19" s="475"/>
    </row>
    <row r="20" spans="2:11" ht="15" thickBot="1" x14ac:dyDescent="0.4">
      <c r="B20" s="472" t="s">
        <v>305</v>
      </c>
      <c r="C20" s="473"/>
      <c r="D20" s="473"/>
      <c r="E20" s="473"/>
      <c r="F20" s="474"/>
      <c r="G20" s="475"/>
    </row>
    <row r="21" spans="2:11" ht="15" thickBot="1" x14ac:dyDescent="0.4">
      <c r="B21" s="472" t="s">
        <v>306</v>
      </c>
      <c r="C21" s="473"/>
      <c r="D21" s="473"/>
      <c r="E21" s="473"/>
      <c r="F21" s="474"/>
      <c r="G21" s="475"/>
    </row>
    <row r="23" spans="2:11" x14ac:dyDescent="0.35">
      <c r="B23" s="319" t="str">
        <f>'Translation Table (internal)'!A8</f>
        <v>Presettings for Calculation:</v>
      </c>
    </row>
    <row r="24" spans="2:11" x14ac:dyDescent="0.35">
      <c r="B24" s="4" t="str">
        <f>'Translation Table (internal)'!A9</f>
        <v>Activate Data Analysis Toolkit in Excel:</v>
      </c>
    </row>
    <row r="25" spans="2:11" x14ac:dyDescent="0.35">
      <c r="B25" s="470" t="s">
        <v>324</v>
      </c>
      <c r="C25" s="471"/>
      <c r="D25" s="471"/>
      <c r="E25" s="471"/>
      <c r="F25" s="471"/>
      <c r="G25" s="471"/>
      <c r="H25" s="471"/>
      <c r="I25" s="471"/>
      <c r="J25" s="471"/>
      <c r="K25" s="471"/>
    </row>
  </sheetData>
  <sheetProtection algorithmName="SHA-512" hashValue="AZgM6zhO7ql7rJpIZOX3LS6i6BemwpKi4RSVJc3s5NBea4S2MSy4BCXXWoAhiQdXVW6WPvFB7lEZkn4C34FZrw==" saltValue="eqdd6CdygxZ8Wsh0YVtP4g==" spinCount="100000" sheet="1" objects="1" scenarios="1"/>
  <mergeCells count="9">
    <mergeCell ref="B25:K25"/>
    <mergeCell ref="B21:G21"/>
    <mergeCell ref="B7:D7"/>
    <mergeCell ref="B11:G11"/>
    <mergeCell ref="B16:G16"/>
    <mergeCell ref="B17:G17"/>
    <mergeCell ref="B18:G18"/>
    <mergeCell ref="B19:G19"/>
    <mergeCell ref="B20:G20"/>
  </mergeCells>
  <hyperlinks>
    <hyperlink ref="B25" r:id="rId1" xr:uid="{00000000-0004-0000-0200-000000000000}"/>
  </hyperlinks>
  <pageMargins left="0.7" right="0.7" top="0.78740157499999996" bottom="0.78740157499999996"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'Translation Table (internal)'!$B$1:$F$1</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rgb="FF00B050"/>
  </sheetPr>
  <dimension ref="A1:N390"/>
  <sheetViews>
    <sheetView showGridLines="0" zoomScale="85" zoomScaleNormal="85" workbookViewId="0">
      <pane xSplit="8" ySplit="24" topLeftCell="I25" activePane="bottomRight" state="frozen"/>
      <selection activeCell="A12" sqref="A12"/>
      <selection pane="topRight" activeCell="G12" sqref="G12"/>
      <selection pane="bottomLeft" activeCell="A25" sqref="A25"/>
      <selection pane="bottomRight" activeCell="H21" sqref="H21"/>
    </sheetView>
  </sheetViews>
  <sheetFormatPr baseColWidth="10" defaultColWidth="11.453125" defaultRowHeight="14.5" x14ac:dyDescent="0.35"/>
  <cols>
    <col min="1" max="1" width="12.7265625" style="331" hidden="1" customWidth="1"/>
    <col min="2" max="2" width="8.54296875" style="332" hidden="1" customWidth="1"/>
    <col min="3" max="3" width="49.26953125" style="359" customWidth="1"/>
    <col min="4" max="4" width="19.26953125" style="332" customWidth="1"/>
    <col min="5" max="6" width="18.453125" style="332" customWidth="1"/>
    <col min="7" max="7" width="18.7265625" style="332" customWidth="1"/>
    <col min="8" max="8" width="20.54296875" style="332" customWidth="1"/>
    <col min="9" max="9" width="9.54296875" style="332" hidden="1" customWidth="1"/>
    <col min="10" max="10" width="10.81640625" style="332" hidden="1" customWidth="1"/>
    <col min="11" max="11" width="6.26953125" style="332" hidden="1" customWidth="1"/>
    <col min="12" max="12" width="10.453125" style="332" customWidth="1"/>
    <col min="13" max="13" width="0.54296875" style="332" customWidth="1"/>
    <col min="14" max="15" width="11.453125" style="332" customWidth="1"/>
    <col min="16" max="16384" width="11.453125" style="332"/>
  </cols>
  <sheetData>
    <row r="1" spans="1:9" hidden="1" x14ac:dyDescent="0.35"/>
    <row r="2" spans="1:9" hidden="1" x14ac:dyDescent="0.35"/>
    <row r="3" spans="1:9" hidden="1" x14ac:dyDescent="0.35"/>
    <row r="4" spans="1:9" hidden="1" x14ac:dyDescent="0.35"/>
    <row r="5" spans="1:9" hidden="1" x14ac:dyDescent="0.35"/>
    <row r="6" spans="1:9" hidden="1" x14ac:dyDescent="0.35">
      <c r="A6" s="333"/>
    </row>
    <row r="7" spans="1:9" hidden="1" x14ac:dyDescent="0.35">
      <c r="A7" s="333"/>
    </row>
    <row r="8" spans="1:9" ht="36.75" customHeight="1" thickBot="1" x14ac:dyDescent="0.4">
      <c r="A8" s="333"/>
      <c r="C8" s="418"/>
      <c r="E8" s="334" t="str">
        <f>'Translation Table (internal)'!A11</f>
        <v>Enter Data for Reference Situation</v>
      </c>
    </row>
    <row r="9" spans="1:9" ht="26.25" customHeight="1" x14ac:dyDescent="0.35">
      <c r="A9" s="335" t="s">
        <v>74</v>
      </c>
      <c r="E9" s="477" t="str">
        <f>'Translation Table (internal)'!A12</f>
        <v>Don´t move or cut and paste cells. This would destroy the tool. Instead: Copy, paste and delete</v>
      </c>
      <c r="F9" s="478"/>
      <c r="G9" s="478"/>
      <c r="H9" s="478"/>
    </row>
    <row r="10" spans="1:9" hidden="1" x14ac:dyDescent="0.35">
      <c r="A10" s="336" t="s">
        <v>56</v>
      </c>
    </row>
    <row r="11" spans="1:9" ht="15" hidden="1" thickBot="1" x14ac:dyDescent="0.4">
      <c r="A11" s="337" t="s">
        <v>55</v>
      </c>
    </row>
    <row r="12" spans="1:9" ht="8.25" hidden="1" customHeight="1" x14ac:dyDescent="0.35">
      <c r="A12" s="338"/>
      <c r="I12" s="339" t="s">
        <v>52</v>
      </c>
    </row>
    <row r="13" spans="1:9" ht="6.75" hidden="1" customHeight="1" x14ac:dyDescent="0.35">
      <c r="A13" s="340"/>
      <c r="C13" s="479"/>
      <c r="D13" s="479"/>
      <c r="E13" s="479"/>
      <c r="I13" s="339" t="s">
        <v>52</v>
      </c>
    </row>
    <row r="14" spans="1:9" ht="19.5" customHeight="1" thickBot="1" x14ac:dyDescent="0.4">
      <c r="A14" s="340"/>
      <c r="C14" s="480"/>
      <c r="D14" s="481"/>
      <c r="E14" s="481"/>
      <c r="F14" s="481"/>
      <c r="G14" s="481"/>
      <c r="H14" s="481"/>
      <c r="I14" s="339"/>
    </row>
    <row r="15" spans="1:9" ht="20.25" customHeight="1" thickBot="1" x14ac:dyDescent="0.4">
      <c r="A15" s="340"/>
      <c r="C15" s="419" t="str">
        <f>'Translation Table (internal)'!A14</f>
        <v>Periods (must be entered as dates)</v>
      </c>
      <c r="D15" s="341" t="str">
        <f>'Translation Table (internal)'!A18</f>
        <v>Effort</v>
      </c>
      <c r="E15" s="341" t="str">
        <f>'Translation Table (internal)'!A22</f>
        <v>Benefit</v>
      </c>
      <c r="F15" s="482" t="str">
        <f>'Translation Table (internal)'!A24</f>
        <v>Further external Influences</v>
      </c>
      <c r="G15" s="483"/>
      <c r="H15" s="484"/>
      <c r="I15" s="339"/>
    </row>
    <row r="16" spans="1:9" ht="24.75" customHeight="1" x14ac:dyDescent="0.35">
      <c r="A16" s="307"/>
      <c r="C16" s="420" t="str">
        <f>'Translation Table (internal)'!A15</f>
        <v>Timeframe from Measurement</v>
      </c>
      <c r="D16" s="485" t="str">
        <f>'Translation Table (internal)'!A19</f>
        <v>(Energy Input)</v>
      </c>
      <c r="E16" s="485" t="str">
        <f>'Translation Table (internal)'!A23</f>
        <v>(useable production)</v>
      </c>
      <c r="F16" s="487" t="str">
        <f>'Translation Table (internal)'!A25</f>
        <v>(e. g. Production of other Products, Ambient Temperatures)</v>
      </c>
      <c r="G16" s="488"/>
      <c r="H16" s="489"/>
      <c r="I16" s="339"/>
    </row>
    <row r="17" spans="1:14" ht="6.75" customHeight="1" thickBot="1" x14ac:dyDescent="0.4">
      <c r="A17" s="307"/>
      <c r="C17" s="493" t="s">
        <v>525</v>
      </c>
      <c r="D17" s="486"/>
      <c r="E17" s="486"/>
      <c r="F17" s="490"/>
      <c r="G17" s="491"/>
      <c r="H17" s="492"/>
      <c r="I17" s="339"/>
    </row>
    <row r="18" spans="1:14" ht="6" customHeight="1" thickBot="1" x14ac:dyDescent="0.4">
      <c r="A18" s="340"/>
      <c r="C18" s="494"/>
      <c r="D18" s="343"/>
      <c r="E18" s="469" t="str">
        <f>'!'!HS2</f>
        <v>AN</v>
      </c>
      <c r="F18" s="469" t="str">
        <f>'!'!HT2</f>
        <v>AN</v>
      </c>
      <c r="G18" s="469" t="str">
        <f>'!'!HU2</f>
        <v>AN</v>
      </c>
      <c r="H18" s="469" t="str">
        <f>'!'!HV2</f>
        <v>AUS</v>
      </c>
      <c r="I18" s="339"/>
    </row>
    <row r="19" spans="1:14" ht="6" hidden="1" customHeight="1" thickBot="1" x14ac:dyDescent="0.4">
      <c r="C19" s="495"/>
      <c r="D19" s="344"/>
      <c r="E19" s="468"/>
      <c r="F19" s="468"/>
      <c r="G19" s="468"/>
      <c r="H19" s="468"/>
      <c r="I19" s="339"/>
    </row>
    <row r="20" spans="1:14" ht="12.75" customHeight="1" thickBot="1" x14ac:dyDescent="0.4">
      <c r="C20" s="420" t="str">
        <f>'Translation Table (internal)'!A16</f>
        <v>Baseline from</v>
      </c>
      <c r="D20" s="345" t="str">
        <f>'Translation Table (internal)'!A20</f>
        <v>Name</v>
      </c>
      <c r="E20" s="346" t="str">
        <f>D20</f>
        <v>Name</v>
      </c>
      <c r="F20" s="346" t="str">
        <f t="shared" ref="F20:H22" si="0">E20</f>
        <v>Name</v>
      </c>
      <c r="G20" s="416" t="str">
        <f t="shared" si="0"/>
        <v>Name</v>
      </c>
      <c r="H20" s="347" t="str">
        <f t="shared" si="0"/>
        <v>Name</v>
      </c>
      <c r="I20" s="339"/>
    </row>
    <row r="21" spans="1:14" ht="27" customHeight="1" thickBot="1" x14ac:dyDescent="0.4">
      <c r="C21" s="348">
        <v>42736</v>
      </c>
      <c r="D21" s="342" t="s">
        <v>530</v>
      </c>
      <c r="E21" s="342" t="s">
        <v>531</v>
      </c>
      <c r="F21" s="342" t="s">
        <v>336</v>
      </c>
      <c r="G21" s="417" t="s">
        <v>337</v>
      </c>
      <c r="H21" s="342"/>
      <c r="I21" s="339"/>
    </row>
    <row r="22" spans="1:14" ht="12.75" customHeight="1" x14ac:dyDescent="0.35">
      <c r="A22" s="17" t="s">
        <v>99</v>
      </c>
      <c r="C22" s="421" t="str">
        <f>'Translation Table (internal)'!A17</f>
        <v>to end of</v>
      </c>
      <c r="D22" s="347" t="str">
        <f>'Translation Table (internal)'!A21</f>
        <v>Unit</v>
      </c>
      <c r="E22" s="346" t="str">
        <f>D22</f>
        <v>Unit</v>
      </c>
      <c r="F22" s="346" t="str">
        <f t="shared" si="0"/>
        <v>Unit</v>
      </c>
      <c r="G22" s="346" t="str">
        <f t="shared" si="0"/>
        <v>Unit</v>
      </c>
      <c r="H22" s="347" t="str">
        <f t="shared" si="0"/>
        <v>Unit</v>
      </c>
      <c r="I22" s="339"/>
      <c r="J22" s="349"/>
    </row>
    <row r="23" spans="1:14" ht="21.75" customHeight="1" thickBot="1" x14ac:dyDescent="0.4">
      <c r="A23" s="350" t="s">
        <v>87</v>
      </c>
      <c r="C23" s="351">
        <v>43070</v>
      </c>
      <c r="D23" s="352" t="s">
        <v>526</v>
      </c>
      <c r="E23" s="352" t="s">
        <v>527</v>
      </c>
      <c r="F23" s="352" t="s">
        <v>528</v>
      </c>
      <c r="G23" s="352" t="s">
        <v>529</v>
      </c>
      <c r="H23" s="352"/>
      <c r="I23" s="339"/>
    </row>
    <row r="24" spans="1:14" ht="3" customHeight="1" x14ac:dyDescent="0.35">
      <c r="A24" s="340"/>
      <c r="C24" s="422"/>
      <c r="D24" s="353"/>
      <c r="E24" s="354"/>
      <c r="F24" s="355"/>
      <c r="G24" s="354"/>
      <c r="H24" s="356"/>
      <c r="I24" s="339"/>
    </row>
    <row r="25" spans="1:14" x14ac:dyDescent="0.35">
      <c r="A25" s="340" t="str">
        <f>IF(OR(C25&gt;Report!$H$4,C25&lt;Report!$G$4),"",IF(OR(J25*K25=1,K25-J25=1),'!'!$GJ$14,""))</f>
        <v/>
      </c>
      <c r="B25" s="332">
        <f>IF(A25="",0,COUNTIF($A$25:$A25,'!'!$GJ$14))</f>
        <v>0</v>
      </c>
      <c r="C25" s="424">
        <v>42736</v>
      </c>
      <c r="D25" s="425">
        <v>7484.3</v>
      </c>
      <c r="E25" s="425">
        <v>94</v>
      </c>
      <c r="F25" s="425">
        <v>550</v>
      </c>
      <c r="G25" s="425">
        <v>15</v>
      </c>
      <c r="H25" s="426"/>
      <c r="I25" s="339" t="str">
        <f>IF(OR(VLOOKUP(C25,'!'!$GU$24:$HE$390,'!'!HE$17,FALSE)&gt;'!'!$GL$8,VLOOKUP(C25,'!'!$GU$24:$HE$390,'!'!HE$17,FALSE)&lt;'!'!$GL$7+1),"",$I$12)</f>
        <v>BA</v>
      </c>
      <c r="J25" s="357">
        <f>IF(Report!$G$4=C25,1,IF(Report!$H$4=C25,1,0))</f>
        <v>0</v>
      </c>
      <c r="K25" s="358">
        <f>SUM($J$25:J25)</f>
        <v>0</v>
      </c>
      <c r="L25" s="359"/>
      <c r="N25" s="360"/>
    </row>
    <row r="26" spans="1:14" x14ac:dyDescent="0.35">
      <c r="A26" s="340" t="str">
        <f>IF(OR(C26&gt;Report!$H$4,C26&lt;Report!$G$4),"",IF(OR(J26*K26=1,K26-J26=1),'!'!$GJ$14,""))</f>
        <v/>
      </c>
      <c r="B26" s="332">
        <f>IF(A26="",0,COUNTIF($A$25:$A26,'!'!$GJ$14))</f>
        <v>0</v>
      </c>
      <c r="C26" s="424">
        <v>42767</v>
      </c>
      <c r="D26" s="425">
        <v>7249.3</v>
      </c>
      <c r="E26" s="425">
        <v>99</v>
      </c>
      <c r="F26" s="425">
        <v>450</v>
      </c>
      <c r="G26" s="425">
        <v>45</v>
      </c>
      <c r="H26" s="427"/>
      <c r="I26" s="339" t="str">
        <f>IF(OR(VLOOKUP(C26,'!'!$GU$24:$HE$390,'!'!HE$17,FALSE)&gt;'!'!$GL$8,VLOOKUP(C26,'!'!$GU$24:$HE$390,'!'!HE$17,FALSE)&lt;'!'!$GL$7+1),"",$I$12)</f>
        <v>BA</v>
      </c>
      <c r="J26" s="357">
        <f>IF(Report!$G$4=C26,1,IF(Report!$H$4=C26,1,0))</f>
        <v>0</v>
      </c>
      <c r="K26" s="358">
        <f>SUM($J$25:J26)</f>
        <v>0</v>
      </c>
      <c r="L26" s="359"/>
      <c r="N26" s="360"/>
    </row>
    <row r="27" spans="1:14" x14ac:dyDescent="0.35">
      <c r="A27" s="340" t="str">
        <f>IF(OR(C27&gt;Report!$H$4,C27&lt;Report!$G$4),"",IF(OR(J27*K27=1,K27-J27=1),'!'!$GJ$14,""))</f>
        <v/>
      </c>
      <c r="B27" s="332">
        <f>IF(A27="",0,COUNTIF($A$25:$A27,'!'!$GJ$14))</f>
        <v>0</v>
      </c>
      <c r="C27" s="424">
        <v>42795</v>
      </c>
      <c r="D27" s="425">
        <v>7163.5</v>
      </c>
      <c r="E27" s="425">
        <v>73</v>
      </c>
      <c r="F27" s="425">
        <v>440</v>
      </c>
      <c r="G27" s="425">
        <v>75</v>
      </c>
      <c r="H27" s="427"/>
      <c r="I27" s="339" t="str">
        <f>IF(OR(VLOOKUP(C27,'!'!$GU$24:$HE$390,'!'!HE$17,FALSE)&gt;'!'!$GL$8,VLOOKUP(C27,'!'!$GU$24:$HE$390,'!'!HE$17,FALSE)&lt;'!'!$GL$7+1),"",$I$12)</f>
        <v>BA</v>
      </c>
      <c r="J27" s="357">
        <f>IF(Report!$G$4=C27,1,IF(Report!$H$4=C27,1,0))</f>
        <v>0</v>
      </c>
      <c r="K27" s="358">
        <f>SUM($J$25:J27)</f>
        <v>0</v>
      </c>
      <c r="L27" s="359"/>
    </row>
    <row r="28" spans="1:14" x14ac:dyDescent="0.35">
      <c r="A28" s="340" t="str">
        <f>IF(OR(C28&gt;Report!$H$4,C28&lt;Report!$G$4),"",IF(OR(J28*K28=1,K28-J28=1),'!'!$GJ$14,""))</f>
        <v/>
      </c>
      <c r="B28" s="332">
        <f>IF(A28="",0,COUNTIF($A$25:$A28,'!'!$GJ$14))</f>
        <v>0</v>
      </c>
      <c r="C28" s="424">
        <v>42826</v>
      </c>
      <c r="D28" s="425">
        <v>5794.5</v>
      </c>
      <c r="E28" s="425">
        <v>93</v>
      </c>
      <c r="F28" s="425">
        <v>210</v>
      </c>
      <c r="G28" s="425">
        <v>15</v>
      </c>
      <c r="H28" s="427"/>
      <c r="I28" s="339" t="str">
        <f>IF(OR(VLOOKUP(C28,'!'!$GU$24:$HE$390,'!'!HE$17,FALSE)&gt;'!'!$GL$8,VLOOKUP(C28,'!'!$GU$24:$HE$390,'!'!HE$17,FALSE)&lt;'!'!$GL$7+1),"",$I$12)</f>
        <v>BA</v>
      </c>
      <c r="J28" s="357">
        <f>IF(Report!$G$4=C28,1,IF(Report!$H$4=C28,1,0))</f>
        <v>0</v>
      </c>
      <c r="K28" s="358">
        <f>SUM($J$25:J28)</f>
        <v>0</v>
      </c>
      <c r="L28" s="359"/>
    </row>
    <row r="29" spans="1:14" x14ac:dyDescent="0.35">
      <c r="A29" s="340" t="str">
        <f>IF(OR(C29&gt;Report!$H$4,C29&lt;Report!$G$4),"",IF(OR(J29*K29=1,K29-J29=1),'!'!$GJ$14,""))</f>
        <v/>
      </c>
      <c r="B29" s="332">
        <f>IF(A29="",0,COUNTIF($A$25:$A29,'!'!$GJ$14))</f>
        <v>0</v>
      </c>
      <c r="C29" s="424">
        <v>42856</v>
      </c>
      <c r="D29" s="425">
        <v>6373.4</v>
      </c>
      <c r="E29" s="425">
        <v>108</v>
      </c>
      <c r="F29" s="425">
        <v>205.32173913043476</v>
      </c>
      <c r="G29" s="425">
        <v>45</v>
      </c>
      <c r="H29" s="427"/>
      <c r="I29" s="339" t="str">
        <f>IF(OR(VLOOKUP(C29,'!'!$GU$24:$HE$390,'!'!HE$17,FALSE)&gt;'!'!$GL$8,VLOOKUP(C29,'!'!$GU$24:$HE$390,'!'!HE$17,FALSE)&lt;'!'!$GL$7+1),"",$I$12)</f>
        <v>BA</v>
      </c>
      <c r="J29" s="357">
        <f>IF(Report!$G$4=C29,1,IF(Report!$H$4=C29,1,0))</f>
        <v>0</v>
      </c>
      <c r="K29" s="358">
        <f>SUM($J$25:J29)</f>
        <v>0</v>
      </c>
      <c r="L29" s="359"/>
    </row>
    <row r="30" spans="1:14" x14ac:dyDescent="0.35">
      <c r="A30" s="340" t="str">
        <f>IF(OR(C30&gt;Report!$H$4,C30&lt;Report!$G$4),"",IF(OR(J30*K30=1,K30-J30=1),'!'!$GJ$14,""))</f>
        <v/>
      </c>
      <c r="B30" s="332">
        <f>IF(A30="",0,COUNTIF($A$25:$A30,'!'!$GJ$14))</f>
        <v>0</v>
      </c>
      <c r="C30" s="424">
        <v>42887</v>
      </c>
      <c r="D30" s="425">
        <v>7445.2</v>
      </c>
      <c r="E30" s="425">
        <v>132</v>
      </c>
      <c r="F30" s="425">
        <v>103.46956521739131</v>
      </c>
      <c r="G30" s="425">
        <v>75</v>
      </c>
      <c r="H30" s="427"/>
      <c r="I30" s="339" t="str">
        <f>IF(OR(VLOOKUP(C30,'!'!$GU$24:$HE$390,'!'!HE$17,FALSE)&gt;'!'!$GL$8,VLOOKUP(C30,'!'!$GU$24:$HE$390,'!'!HE$17,FALSE)&lt;'!'!$GL$7+1),"",$I$12)</f>
        <v>BA</v>
      </c>
      <c r="J30" s="357">
        <f>IF(Report!$G$4=C30,1,IF(Report!$H$4=C30,1,0))</f>
        <v>0</v>
      </c>
      <c r="K30" s="358">
        <f>SUM($J$25:J30)</f>
        <v>0</v>
      </c>
      <c r="L30" s="359"/>
    </row>
    <row r="31" spans="1:14" x14ac:dyDescent="0.35">
      <c r="A31" s="340" t="str">
        <f>IF(OR(C31&gt;Report!$H$4,C31&lt;Report!$G$4),"",IF(OR(J31*K31=1,K31-J31=1),'!'!$GJ$14,""))</f>
        <v/>
      </c>
      <c r="B31" s="332">
        <f>IF(A31="",0,COUNTIF($A$25:$A31,'!'!$GJ$14))</f>
        <v>0</v>
      </c>
      <c r="C31" s="424">
        <v>42917</v>
      </c>
      <c r="D31" s="425">
        <v>7123.3</v>
      </c>
      <c r="E31" s="425">
        <v>165</v>
      </c>
      <c r="F31" s="425">
        <v>43.080434782608691</v>
      </c>
      <c r="G31" s="425">
        <v>15</v>
      </c>
      <c r="H31" s="427"/>
      <c r="I31" s="339" t="str">
        <f>IF(OR(VLOOKUP(C31,'!'!$GU$24:$HE$390,'!'!HE$17,FALSE)&gt;'!'!$GL$8,VLOOKUP(C31,'!'!$GU$24:$HE$390,'!'!HE$17,FALSE)&lt;'!'!$GL$7+1),"",$I$12)</f>
        <v>BA</v>
      </c>
      <c r="J31" s="357">
        <f>IF(Report!$G$4=C31,1,IF(Report!$H$4=C31,1,0))</f>
        <v>0</v>
      </c>
      <c r="K31" s="358">
        <f>SUM($J$25:J31)</f>
        <v>0</v>
      </c>
      <c r="L31" s="359"/>
    </row>
    <row r="32" spans="1:14" x14ac:dyDescent="0.35">
      <c r="A32" s="340" t="str">
        <f>IF(OR(C32&gt;Report!$H$4,C32&lt;Report!$G$4),"",IF(OR(J32*K32=1,K32-J32=1),'!'!$GJ$14,""))</f>
        <v/>
      </c>
      <c r="B32" s="332">
        <f>IF(A32="",0,COUNTIF($A$25:$A32,'!'!$GJ$14))</f>
        <v>0</v>
      </c>
      <c r="C32" s="424">
        <v>42948</v>
      </c>
      <c r="D32" s="425">
        <v>8465</v>
      </c>
      <c r="E32" s="425">
        <v>188</v>
      </c>
      <c r="F32" s="425">
        <v>42.978260869565219</v>
      </c>
      <c r="G32" s="425">
        <v>45</v>
      </c>
      <c r="H32" s="427"/>
      <c r="I32" s="339" t="str">
        <f>IF(OR(VLOOKUP(C32,'!'!$GU$24:$HE$390,'!'!HE$17,FALSE)&gt;'!'!$GL$8,VLOOKUP(C32,'!'!$GU$24:$HE$390,'!'!HE$17,FALSE)&lt;'!'!$GL$7+1),"",$I$12)</f>
        <v>BA</v>
      </c>
      <c r="J32" s="357">
        <f>IF(Report!$G$4=C32,1,IF(Report!$H$4=C32,1,0))</f>
        <v>0</v>
      </c>
      <c r="K32" s="358">
        <f>SUM($J$25:J32)</f>
        <v>0</v>
      </c>
      <c r="L32" s="359"/>
    </row>
    <row r="33" spans="1:12" x14ac:dyDescent="0.35">
      <c r="A33" s="340" t="str">
        <f>IF(OR(C33&gt;Report!$H$4,C33&lt;Report!$G$4),"",IF(OR(J33*K33=1,K33-J33=1),'!'!$GJ$14,""))</f>
        <v/>
      </c>
      <c r="B33" s="332">
        <f>IF(A33="",0,COUNTIF($A$25:$A33,'!'!$GJ$14))</f>
        <v>0</v>
      </c>
      <c r="C33" s="424">
        <v>42979</v>
      </c>
      <c r="D33" s="425">
        <v>7176.6</v>
      </c>
      <c r="E33" s="425">
        <v>113</v>
      </c>
      <c r="F33" s="425">
        <v>155.98478260869564</v>
      </c>
      <c r="G33" s="425">
        <v>75</v>
      </c>
      <c r="H33" s="427"/>
      <c r="I33" s="339" t="str">
        <f>IF(OR(VLOOKUP(C33,'!'!$GU$24:$HE$390,'!'!HE$17,FALSE)&gt;'!'!$GL$8,VLOOKUP(C33,'!'!$GU$24:$HE$390,'!'!HE$17,FALSE)&lt;'!'!$GL$7+1),"",$I$12)</f>
        <v>BA</v>
      </c>
      <c r="J33" s="357">
        <f>IF(Report!$G$4=C33,1,IF(Report!$H$4=C33,1,0))</f>
        <v>0</v>
      </c>
      <c r="K33" s="358">
        <f>SUM($J$25:J33)</f>
        <v>0</v>
      </c>
      <c r="L33" s="359"/>
    </row>
    <row r="34" spans="1:12" x14ac:dyDescent="0.35">
      <c r="A34" s="340" t="str">
        <f>IF(OR(C34&gt;Report!$H$4,C34&lt;Report!$G$4),"",IF(OR(J34*K34=1,K34-J34=1),'!'!$GJ$14,""))</f>
        <v/>
      </c>
      <c r="B34" s="332">
        <f>IF(A34="",0,COUNTIF($A$25:$A34,'!'!$GJ$14))</f>
        <v>0</v>
      </c>
      <c r="C34" s="424">
        <v>43009</v>
      </c>
      <c r="D34" s="425">
        <v>7174.9</v>
      </c>
      <c r="E34" s="425">
        <v>87</v>
      </c>
      <c r="F34" s="425">
        <v>313.0152173913043</v>
      </c>
      <c r="G34" s="425">
        <v>105</v>
      </c>
      <c r="H34" s="427"/>
      <c r="I34" s="339" t="str">
        <f>IF(OR(VLOOKUP(C34,'!'!$GU$24:$HE$390,'!'!HE$17,FALSE)&gt;'!'!$GL$8,VLOOKUP(C34,'!'!$GU$24:$HE$390,'!'!HE$17,FALSE)&lt;'!'!$GL$7+1),"",$I$12)</f>
        <v>BA</v>
      </c>
      <c r="J34" s="357">
        <f>IF(Report!$G$4=C34,1,IF(Report!$H$4=C34,1,0))</f>
        <v>0</v>
      </c>
      <c r="K34" s="358">
        <f>SUM($J$25:J34)</f>
        <v>0</v>
      </c>
      <c r="L34" s="359"/>
    </row>
    <row r="35" spans="1:12" x14ac:dyDescent="0.35">
      <c r="A35" s="340" t="str">
        <f>IF(OR(C35&gt;Report!$H$4,C35&lt;Report!$G$4),"",IF(OR(J35*K35=1,K35-J35=1),'!'!$GJ$14,""))</f>
        <v/>
      </c>
      <c r="B35" s="332">
        <f>IF(A35="",0,COUNTIF($A$25:$A35,'!'!$GJ$14))</f>
        <v>0</v>
      </c>
      <c r="C35" s="424">
        <v>43040</v>
      </c>
      <c r="D35" s="425">
        <v>9031.7999999999993</v>
      </c>
      <c r="E35" s="425">
        <v>71</v>
      </c>
      <c r="F35" s="425">
        <v>500</v>
      </c>
      <c r="G35" s="425">
        <v>135</v>
      </c>
      <c r="H35" s="427"/>
      <c r="I35" s="339" t="str">
        <f>IF(OR(VLOOKUP(C35,'!'!$GU$24:$HE$390,'!'!HE$17,FALSE)&gt;'!'!$GL$8,VLOOKUP(C35,'!'!$GU$24:$HE$390,'!'!HE$17,FALSE)&lt;'!'!$GL$7+1),"",$I$12)</f>
        <v>BA</v>
      </c>
      <c r="J35" s="357">
        <f>IF(Report!$G$4=C35,1,IF(Report!$H$4=C35,1,0))</f>
        <v>0</v>
      </c>
      <c r="K35" s="358">
        <f>SUM($J$25:J35)</f>
        <v>0</v>
      </c>
      <c r="L35" s="359"/>
    </row>
    <row r="36" spans="1:12" x14ac:dyDescent="0.35">
      <c r="A36" s="340" t="str">
        <f>IF(OR(C36&gt;Report!$H$4,C36&lt;Report!$G$4),"",IF(OR(J36*K36=1,K36-J36=1),'!'!$GJ$14,""))</f>
        <v/>
      </c>
      <c r="B36" s="332">
        <f>IF(A36="",0,COUNTIF($A$25:$A36,'!'!$GJ$14))</f>
        <v>0</v>
      </c>
      <c r="C36" s="424">
        <v>43070</v>
      </c>
      <c r="D36" s="425">
        <v>10956</v>
      </c>
      <c r="E36" s="425">
        <v>146</v>
      </c>
      <c r="F36" s="425">
        <v>820</v>
      </c>
      <c r="G36" s="425">
        <v>15</v>
      </c>
      <c r="H36" s="427"/>
      <c r="I36" s="339" t="str">
        <f>IF(OR(VLOOKUP(C36,'!'!$GU$24:$HE$390,'!'!HE$17,FALSE)&gt;'!'!$GL$8,VLOOKUP(C36,'!'!$GU$24:$HE$390,'!'!HE$17,FALSE)&lt;'!'!$GL$7+1),"",$I$12)</f>
        <v>BA</v>
      </c>
      <c r="J36" s="357">
        <f>IF(Report!$G$4=C36,1,IF(Report!$H$4=C36,1,0))</f>
        <v>0</v>
      </c>
      <c r="K36" s="358">
        <f>SUM($J$25:J36)</f>
        <v>0</v>
      </c>
      <c r="L36" s="359"/>
    </row>
    <row r="37" spans="1:12" x14ac:dyDescent="0.35">
      <c r="A37" s="340" t="str">
        <f>IF(OR(C37&gt;Report!$H$4,C37&lt;Report!$G$4),"",IF(OR(J37*K37=1,K37-J37=1),'!'!$GJ$14,""))</f>
        <v/>
      </c>
      <c r="B37" s="332">
        <f>IF(A37="",0,COUNTIF($A$25:$A37,'!'!$GJ$14))</f>
        <v>0</v>
      </c>
      <c r="C37" s="361"/>
      <c r="D37" s="362"/>
      <c r="E37" s="363"/>
      <c r="F37" s="363"/>
      <c r="G37" s="363"/>
      <c r="H37" s="427"/>
      <c r="I37" s="339" t="str">
        <f>IF(OR(VLOOKUP(C37,'!'!$GU$24:$HE$390,'!'!HE$17,FALSE)&gt;'!'!$GL$8,VLOOKUP(C37,'!'!$GU$24:$HE$390,'!'!HE$17,FALSE)&lt;'!'!$GL$7+1),"",$I$12)</f>
        <v/>
      </c>
      <c r="J37" s="357">
        <f>IF(Report!$G$4=C37,1,IF(Report!$H$4=C37,1,0))</f>
        <v>0</v>
      </c>
      <c r="K37" s="358">
        <f>SUM($J$25:J37)</f>
        <v>0</v>
      </c>
      <c r="L37" s="359"/>
    </row>
    <row r="38" spans="1:12" x14ac:dyDescent="0.35">
      <c r="A38" s="340" t="str">
        <f>IF(OR(C38&gt;Report!$H$4,C38&lt;Report!$G$4),"",IF(OR(J38*K38=1,K38-J38=1),'!'!$GJ$14,""))</f>
        <v/>
      </c>
      <c r="B38" s="332">
        <f>IF(A38="",0,COUNTIF($A$25:$A38,'!'!$GJ$14))</f>
        <v>0</v>
      </c>
      <c r="C38" s="361"/>
      <c r="D38" s="328"/>
      <c r="E38" s="329"/>
      <c r="F38" s="329"/>
      <c r="G38" s="329"/>
      <c r="H38" s="427"/>
      <c r="I38" s="339" t="str">
        <f>IF(OR(VLOOKUP(C38,'!'!$GU$24:$HE$390,'!'!HE$17,FALSE)&gt;'!'!$GL$8,VLOOKUP(C38,'!'!$GU$24:$HE$390,'!'!HE$17,FALSE)&lt;'!'!$GL$7+1),"",$I$12)</f>
        <v/>
      </c>
      <c r="J38" s="357">
        <f>IF(Report!$G$4=C38,1,IF(Report!$H$4=C38,1,0))</f>
        <v>0</v>
      </c>
      <c r="K38" s="358">
        <f>SUM($J$25:J38)</f>
        <v>0</v>
      </c>
      <c r="L38" s="359"/>
    </row>
    <row r="39" spans="1:12" x14ac:dyDescent="0.35">
      <c r="A39" s="340" t="str">
        <f>IF(OR(C39&gt;Report!$H$4,C39&lt;Report!$G$4),"",IF(OR(J39*K39=1,K39-J39=1),'!'!$GJ$14,""))</f>
        <v/>
      </c>
      <c r="B39" s="332">
        <f>IF(A39="",0,COUNTIF($A$25:$A39,'!'!$GJ$14))</f>
        <v>0</v>
      </c>
      <c r="C39" s="361"/>
      <c r="D39" s="328"/>
      <c r="E39" s="329"/>
      <c r="F39" s="329"/>
      <c r="G39" s="329"/>
      <c r="H39" s="364"/>
      <c r="I39" s="339" t="str">
        <f>IF(OR(VLOOKUP(C39,'!'!$GU$24:$HE$390,'!'!HE$17,FALSE)&gt;'!'!$GL$8,VLOOKUP(C39,'!'!$GU$24:$HE$390,'!'!HE$17,FALSE)&lt;'!'!$GL$7+1),"",$I$12)</f>
        <v/>
      </c>
      <c r="J39" s="357">
        <f>IF(Report!$G$4=C39,1,IF(Report!$H$4=C39,1,0))</f>
        <v>0</v>
      </c>
      <c r="K39" s="358">
        <f>SUM($J$25:J39)</f>
        <v>0</v>
      </c>
      <c r="L39" s="359"/>
    </row>
    <row r="40" spans="1:12" x14ac:dyDescent="0.35">
      <c r="A40" s="340" t="str">
        <f>IF(OR(C40&gt;Report!$H$4,C40&lt;Report!$G$4),"",IF(OR(J40*K40=1,K40-J40=1),'!'!$GJ$14,""))</f>
        <v/>
      </c>
      <c r="B40" s="332">
        <f>IF(A40="",0,COUNTIF($A$25:$A40,'!'!$GJ$14))</f>
        <v>0</v>
      </c>
      <c r="C40" s="361"/>
      <c r="D40" s="328"/>
      <c r="E40" s="329"/>
      <c r="F40" s="329"/>
      <c r="G40" s="329"/>
      <c r="H40" s="364"/>
      <c r="I40" s="339" t="str">
        <f>IF(OR(VLOOKUP(C40,'!'!$GU$24:$HE$390,'!'!HE$17,FALSE)&gt;'!'!$GL$8,VLOOKUP(C40,'!'!$GU$24:$HE$390,'!'!HE$17,FALSE)&lt;'!'!$GL$7+1),"",$I$12)</f>
        <v/>
      </c>
      <c r="J40" s="357">
        <f>IF(Report!$G$4=C40,1,IF(Report!$H$4=C40,1,0))</f>
        <v>0</v>
      </c>
      <c r="K40" s="358">
        <f>SUM($J$25:J40)</f>
        <v>0</v>
      </c>
      <c r="L40" s="359"/>
    </row>
    <row r="41" spans="1:12" x14ac:dyDescent="0.35">
      <c r="A41" s="340" t="str">
        <f>IF(OR(C41&gt;Report!$H$4,C41&lt;Report!$G$4),"",IF(OR(J41*K41=1,K41-J41=1),'!'!$GJ$14,""))</f>
        <v/>
      </c>
      <c r="B41" s="332">
        <f>IF(A41="",0,COUNTIF($A$25:$A41,'!'!$GJ$14))</f>
        <v>0</v>
      </c>
      <c r="C41" s="365"/>
      <c r="D41" s="328"/>
      <c r="E41" s="329"/>
      <c r="F41" s="329"/>
      <c r="G41" s="329"/>
      <c r="H41" s="364"/>
      <c r="I41" s="339" t="str">
        <f>IF(OR(VLOOKUP(C41,'!'!$GU$24:$HE$390,'!'!HE$17,FALSE)&gt;'!'!$GL$8,VLOOKUP(C41,'!'!$GU$24:$HE$390,'!'!HE$17,FALSE)&lt;'!'!$GL$7+1),"",$I$12)</f>
        <v/>
      </c>
      <c r="J41" s="357">
        <f>IF(Report!$G$4=C41,1,IF(Report!$H$4=C41,1,0))</f>
        <v>0</v>
      </c>
      <c r="K41" s="358">
        <f>SUM($J$25:J41)</f>
        <v>0</v>
      </c>
      <c r="L41" s="359"/>
    </row>
    <row r="42" spans="1:12" x14ac:dyDescent="0.35">
      <c r="A42" s="340" t="str">
        <f>IF(OR(C42&gt;Report!$H$4,C42&lt;Report!$G$4),"",IF(OR(J42*K42=1,K42-J42=1),'!'!$GJ$14,""))</f>
        <v/>
      </c>
      <c r="B42" s="332">
        <f>IF(A42="",0,COUNTIF($A$25:$A42,'!'!$GJ$14))</f>
        <v>0</v>
      </c>
      <c r="C42" s="365"/>
      <c r="D42" s="328"/>
      <c r="E42" s="329"/>
      <c r="F42" s="329"/>
      <c r="G42" s="329"/>
      <c r="H42" s="364"/>
      <c r="I42" s="339" t="str">
        <f>IF(OR(VLOOKUP(C42,'!'!$GU$24:$HE$390,'!'!HE$17,FALSE)&gt;'!'!$GL$8,VLOOKUP(C42,'!'!$GU$24:$HE$390,'!'!HE$17,FALSE)&lt;'!'!$GL$7+1),"",$I$12)</f>
        <v/>
      </c>
      <c r="J42" s="357">
        <f>IF(Report!$G$4=C42,1,IF(Report!$H$4=C42,1,0))</f>
        <v>0</v>
      </c>
      <c r="K42" s="358">
        <f>SUM($J$25:J42)</f>
        <v>0</v>
      </c>
      <c r="L42" s="359"/>
    </row>
    <row r="43" spans="1:12" x14ac:dyDescent="0.35">
      <c r="A43" s="340" t="str">
        <f>IF(OR(C43&gt;Report!$H$4,C43&lt;Report!$G$4),"",IF(OR(J43*K43=1,K43-J43=1),'!'!$GJ$14,""))</f>
        <v/>
      </c>
      <c r="B43" s="332">
        <f>IF(A43="",0,COUNTIF($A$25:$A43,'!'!$GJ$14))</f>
        <v>0</v>
      </c>
      <c r="C43" s="365"/>
      <c r="D43" s="328"/>
      <c r="E43" s="329"/>
      <c r="F43" s="329"/>
      <c r="G43" s="329"/>
      <c r="H43" s="364"/>
      <c r="I43" s="339" t="str">
        <f>IF(OR(VLOOKUP(C43,'!'!$GU$24:$HE$390,'!'!HE$17,FALSE)&gt;'!'!$GL$8,VLOOKUP(C43,'!'!$GU$24:$HE$390,'!'!HE$17,FALSE)&lt;'!'!$GL$7+1),"",$I$12)</f>
        <v/>
      </c>
      <c r="J43" s="357">
        <f>IF(Report!$G$4=C43,1,IF(Report!$H$4=C43,1,0))</f>
        <v>0</v>
      </c>
      <c r="K43" s="358">
        <f>SUM($J$25:J43)</f>
        <v>0</v>
      </c>
      <c r="L43" s="359"/>
    </row>
    <row r="44" spans="1:12" x14ac:dyDescent="0.35">
      <c r="A44" s="340" t="str">
        <f>IF(OR(C44&gt;Report!$H$4,C44&lt;Report!$G$4),"",IF(OR(J44*K44=1,K44-J44=1),'!'!$GJ$14,""))</f>
        <v/>
      </c>
      <c r="B44" s="332">
        <f>IF(A44="",0,COUNTIF($A$25:$A44,'!'!$GJ$14))</f>
        <v>0</v>
      </c>
      <c r="C44" s="365"/>
      <c r="D44" s="328"/>
      <c r="E44" s="329"/>
      <c r="F44" s="329"/>
      <c r="G44" s="329"/>
      <c r="H44" s="364"/>
      <c r="I44" s="339" t="str">
        <f>IF(OR(VLOOKUP(C44,'!'!$GU$24:$HE$390,'!'!HE$17,FALSE)&gt;'!'!$GL$8,VLOOKUP(C44,'!'!$GU$24:$HE$390,'!'!HE$17,FALSE)&lt;'!'!$GL$7+1),"",$I$12)</f>
        <v/>
      </c>
      <c r="J44" s="357">
        <f>IF(Report!$G$4=C44,1,IF(Report!$H$4=C44,1,0))</f>
        <v>0</v>
      </c>
      <c r="K44" s="358">
        <f>SUM($J$25:J44)</f>
        <v>0</v>
      </c>
      <c r="L44" s="359"/>
    </row>
    <row r="45" spans="1:12" x14ac:dyDescent="0.35">
      <c r="A45" s="340" t="str">
        <f>IF(OR(C45&gt;Report!$H$4,C45&lt;Report!$G$4),"",IF(OR(J45*K45=1,K45-J45=1),'!'!$GJ$14,""))</f>
        <v/>
      </c>
      <c r="B45" s="332">
        <f>IF(A45="",0,COUNTIF($A$25:$A45,'!'!$GJ$14))</f>
        <v>0</v>
      </c>
      <c r="C45" s="365"/>
      <c r="D45" s="328"/>
      <c r="E45" s="329"/>
      <c r="F45" s="329"/>
      <c r="G45" s="329"/>
      <c r="H45" s="364"/>
      <c r="I45" s="339" t="str">
        <f>IF(OR(VLOOKUP(C45,'!'!$GU$24:$HE$390,'!'!HE$17,FALSE)&gt;'!'!$GL$8,VLOOKUP(C45,'!'!$GU$24:$HE$390,'!'!HE$17,FALSE)&lt;'!'!$GL$7+1),"",$I$12)</f>
        <v/>
      </c>
      <c r="J45" s="357">
        <f>IF(Report!$G$4=C45,1,IF(Report!$H$4=C45,1,0))</f>
        <v>0</v>
      </c>
      <c r="K45" s="358">
        <f>SUM($J$25:J45)</f>
        <v>0</v>
      </c>
      <c r="L45" s="359"/>
    </row>
    <row r="46" spans="1:12" x14ac:dyDescent="0.35">
      <c r="A46" s="340" t="str">
        <f>IF(OR(C46&gt;Report!$H$4,C46&lt;Report!$G$4),"",IF(OR(J46*K46=1,K46-J46=1),'!'!$GJ$14,""))</f>
        <v/>
      </c>
      <c r="B46" s="332">
        <f>IF(A46="",0,COUNTIF($A$25:$A46,'!'!$GJ$14))</f>
        <v>0</v>
      </c>
      <c r="C46" s="365"/>
      <c r="D46" s="328"/>
      <c r="E46" s="329"/>
      <c r="F46" s="329"/>
      <c r="G46" s="329"/>
      <c r="H46" s="364"/>
      <c r="I46" s="339" t="str">
        <f>IF(OR(VLOOKUP(C46,'!'!$GU$24:$HE$390,'!'!HE$17,FALSE)&gt;'!'!$GL$8,VLOOKUP(C46,'!'!$GU$24:$HE$390,'!'!HE$17,FALSE)&lt;'!'!$GL$7+1),"",$I$12)</f>
        <v/>
      </c>
      <c r="J46" s="357">
        <f>IF(Report!$G$4=C46,1,IF(Report!$H$4=C46,1,0))</f>
        <v>0</v>
      </c>
      <c r="K46" s="358">
        <f>SUM($J$25:J46)</f>
        <v>0</v>
      </c>
      <c r="L46" s="359"/>
    </row>
    <row r="47" spans="1:12" x14ac:dyDescent="0.35">
      <c r="A47" s="340" t="str">
        <f>IF(OR(C47&gt;Report!$H$4,C47&lt;Report!$G$4),"",IF(OR(J47*K47=1,K47-J47=1),'!'!$GJ$14,""))</f>
        <v/>
      </c>
      <c r="B47" s="332">
        <f>IF(A47="",0,COUNTIF($A$25:$A47,'!'!$GJ$14))</f>
        <v>0</v>
      </c>
      <c r="C47" s="365"/>
      <c r="D47" s="328"/>
      <c r="E47" s="329"/>
      <c r="F47" s="329"/>
      <c r="G47" s="329"/>
      <c r="H47" s="364"/>
      <c r="I47" s="339" t="str">
        <f>IF(OR(VLOOKUP(C47,'!'!$GU$24:$HE$390,'!'!HE$17,FALSE)&gt;'!'!$GL$8,VLOOKUP(C47,'!'!$GU$24:$HE$390,'!'!HE$17,FALSE)&lt;'!'!$GL$7+1),"",$I$12)</f>
        <v/>
      </c>
      <c r="J47" s="357">
        <f>IF(Report!$G$4=C47,1,IF(Report!$H$4=C47,1,0))</f>
        <v>0</v>
      </c>
      <c r="K47" s="358">
        <f>SUM($J$25:J47)</f>
        <v>0</v>
      </c>
      <c r="L47" s="359"/>
    </row>
    <row r="48" spans="1:12" x14ac:dyDescent="0.35">
      <c r="A48" s="340" t="str">
        <f>IF(OR(C48&gt;Report!$H$4,C48&lt;Report!$G$4),"",IF(OR(J48*K48=1,K48-J48=1),'!'!$GJ$14,""))</f>
        <v/>
      </c>
      <c r="B48" s="332">
        <f>IF(A48="",0,COUNTIF($A$25:$A48,'!'!$GJ$14))</f>
        <v>0</v>
      </c>
      <c r="C48" s="365"/>
      <c r="D48" s="328"/>
      <c r="E48" s="329"/>
      <c r="F48" s="329"/>
      <c r="G48" s="329"/>
      <c r="H48" s="364"/>
      <c r="I48" s="339" t="str">
        <f>IF(OR(VLOOKUP(C48,'!'!$GU$24:$HE$390,'!'!HE$17,FALSE)&gt;'!'!$GL$8,VLOOKUP(C48,'!'!$GU$24:$HE$390,'!'!HE$17,FALSE)&lt;'!'!$GL$7+1),"",$I$12)</f>
        <v/>
      </c>
      <c r="J48" s="357">
        <f>IF(Report!$G$4=C48,1,IF(Report!$H$4=C48,1,0))</f>
        <v>0</v>
      </c>
      <c r="K48" s="358">
        <f>SUM($J$25:J48)</f>
        <v>0</v>
      </c>
      <c r="L48" s="359"/>
    </row>
    <row r="49" spans="1:12" x14ac:dyDescent="0.35">
      <c r="A49" s="340" t="str">
        <f>IF(OR(C49&gt;Report!$H$4,C49&lt;Report!$G$4),"",IF(OR(J49*K49=1,K49-J49=1),'!'!$GJ$14,""))</f>
        <v/>
      </c>
      <c r="B49" s="332">
        <f>IF(A49="",0,COUNTIF($A$25:$A49,'!'!$GJ$14))</f>
        <v>0</v>
      </c>
      <c r="C49" s="365"/>
      <c r="D49" s="328"/>
      <c r="E49" s="329"/>
      <c r="F49" s="329"/>
      <c r="G49" s="329"/>
      <c r="H49" s="364"/>
      <c r="I49" s="339" t="str">
        <f>IF(OR(VLOOKUP(C49,'!'!$GU$24:$HE$390,'!'!HE$17,FALSE)&gt;'!'!$GL$8,VLOOKUP(C49,'!'!$GU$24:$HE$390,'!'!HE$17,FALSE)&lt;'!'!$GL$7+1),"",$I$12)</f>
        <v/>
      </c>
      <c r="J49" s="357">
        <f>IF(Report!$G$4=C49,1,IF(Report!$H$4=C49,1,0))</f>
        <v>0</v>
      </c>
      <c r="K49" s="358">
        <f>SUM($J$25:J49)</f>
        <v>0</v>
      </c>
      <c r="L49" s="359"/>
    </row>
    <row r="50" spans="1:12" x14ac:dyDescent="0.35">
      <c r="A50" s="340" t="str">
        <f>IF(OR(C50&gt;Report!$H$4,C50&lt;Report!$G$4),"",IF(OR(J50*K50=1,K50-J50=1),'!'!$GJ$14,""))</f>
        <v/>
      </c>
      <c r="B50" s="332">
        <f>IF(A50="",0,COUNTIF($A$25:$A50,'!'!$GJ$14))</f>
        <v>0</v>
      </c>
      <c r="C50" s="365"/>
      <c r="D50" s="328"/>
      <c r="E50" s="329"/>
      <c r="F50" s="329"/>
      <c r="G50" s="329"/>
      <c r="H50" s="364"/>
      <c r="I50" s="339" t="str">
        <f>IF(OR(VLOOKUP(C50,'!'!$GU$24:$HE$390,'!'!HE$17,FALSE)&gt;'!'!$GL$8,VLOOKUP(C50,'!'!$GU$24:$HE$390,'!'!HE$17,FALSE)&lt;'!'!$GL$7+1),"",$I$12)</f>
        <v/>
      </c>
      <c r="J50" s="357">
        <f>IF(Report!$G$4=C50,1,IF(Report!$H$4=C50,1,0))</f>
        <v>0</v>
      </c>
      <c r="K50" s="358">
        <f>SUM($J$25:J50)</f>
        <v>0</v>
      </c>
      <c r="L50" s="359"/>
    </row>
    <row r="51" spans="1:12" x14ac:dyDescent="0.35">
      <c r="A51" s="340" t="str">
        <f>IF(OR(C51&gt;Report!$H$4,C51&lt;Report!$G$4),"",IF(OR(J51*K51=1,K51-J51=1),'!'!$GJ$14,""))</f>
        <v/>
      </c>
      <c r="B51" s="332">
        <f>IF(A51="",0,COUNTIF($A$25:$A51,'!'!$GJ$14))</f>
        <v>0</v>
      </c>
      <c r="C51" s="365"/>
      <c r="D51" s="328"/>
      <c r="E51" s="329"/>
      <c r="F51" s="329"/>
      <c r="G51" s="329"/>
      <c r="H51" s="364"/>
      <c r="I51" s="339" t="str">
        <f>IF(OR(VLOOKUP(C51,'!'!$GU$24:$HE$390,'!'!HE$17,FALSE)&gt;'!'!$GL$8,VLOOKUP(C51,'!'!$GU$24:$HE$390,'!'!HE$17,FALSE)&lt;'!'!$GL$7+1),"",$I$12)</f>
        <v/>
      </c>
      <c r="J51" s="357">
        <f>IF(Report!$G$4=C51,1,IF(Report!$H$4=C51,1,0))</f>
        <v>0</v>
      </c>
      <c r="K51" s="358">
        <f>SUM($J$25:J51)</f>
        <v>0</v>
      </c>
      <c r="L51" s="359"/>
    </row>
    <row r="52" spans="1:12" x14ac:dyDescent="0.35">
      <c r="A52" s="340" t="str">
        <f>IF(OR(C52&gt;Report!$H$4,C52&lt;Report!$G$4),"",IF(OR(J52*K52=1,K52-J52=1),'!'!$GJ$14,""))</f>
        <v/>
      </c>
      <c r="B52" s="332">
        <f>IF(A52="",0,COUNTIF($A$25:$A52,'!'!$GJ$14))</f>
        <v>0</v>
      </c>
      <c r="C52" s="365"/>
      <c r="D52" s="328"/>
      <c r="E52" s="329"/>
      <c r="F52" s="329"/>
      <c r="G52" s="329"/>
      <c r="H52" s="364"/>
      <c r="I52" s="339" t="str">
        <f>IF(OR(VLOOKUP(C52,'!'!$GU$24:$HE$390,'!'!HE$17,FALSE)&gt;'!'!$GL$8,VLOOKUP(C52,'!'!$GU$24:$HE$390,'!'!HE$17,FALSE)&lt;'!'!$GL$7+1),"",$I$12)</f>
        <v/>
      </c>
      <c r="J52" s="357">
        <f>IF(Report!$G$4=C52,1,IF(Report!$H$4=C52,1,0))</f>
        <v>0</v>
      </c>
      <c r="K52" s="358">
        <f>SUM($J$25:J52)</f>
        <v>0</v>
      </c>
      <c r="L52" s="359"/>
    </row>
    <row r="53" spans="1:12" x14ac:dyDescent="0.35">
      <c r="A53" s="340" t="str">
        <f>IF(OR(C53&gt;Report!$H$4,C53&lt;Report!$G$4),"",IF(OR(J53*K53=1,K53-J53=1),'!'!$GJ$14,""))</f>
        <v/>
      </c>
      <c r="B53" s="332">
        <f>IF(A53="",0,COUNTIF($A$25:$A53,'!'!$GJ$14))</f>
        <v>0</v>
      </c>
      <c r="C53" s="365"/>
      <c r="D53" s="328"/>
      <c r="E53" s="329"/>
      <c r="F53" s="329"/>
      <c r="G53" s="329"/>
      <c r="H53" s="364"/>
      <c r="I53" s="339" t="str">
        <f>IF(OR(VLOOKUP(C53,'!'!$GU$24:$HE$390,'!'!HE$17,FALSE)&gt;'!'!$GL$8,VLOOKUP(C53,'!'!$GU$24:$HE$390,'!'!HE$17,FALSE)&lt;'!'!$GL$7+1),"",$I$12)</f>
        <v/>
      </c>
      <c r="J53" s="357">
        <f>IF(Report!$G$4=C53,1,IF(Report!$H$4=C53,1,0))</f>
        <v>0</v>
      </c>
      <c r="K53" s="358">
        <f>SUM($J$25:J53)</f>
        <v>0</v>
      </c>
      <c r="L53" s="359"/>
    </row>
    <row r="54" spans="1:12" x14ac:dyDescent="0.35">
      <c r="A54" s="340" t="str">
        <f>IF(OR(C54&gt;Report!$H$4,C54&lt;Report!$G$4),"",IF(OR(J54*K54=1,K54-J54=1),'!'!$GJ$14,""))</f>
        <v/>
      </c>
      <c r="B54" s="332">
        <f>IF(A54="",0,COUNTIF($A$25:$A54,'!'!$GJ$14))</f>
        <v>0</v>
      </c>
      <c r="C54" s="365"/>
      <c r="D54" s="328"/>
      <c r="E54" s="329"/>
      <c r="F54" s="329"/>
      <c r="G54" s="329"/>
      <c r="H54" s="364"/>
      <c r="I54" s="339" t="str">
        <f>IF(OR(VLOOKUP(C54,'!'!$GU$24:$HE$390,'!'!HE$17,FALSE)&gt;'!'!$GL$8,VLOOKUP(C54,'!'!$GU$24:$HE$390,'!'!HE$17,FALSE)&lt;'!'!$GL$7+1),"",$I$12)</f>
        <v/>
      </c>
      <c r="J54" s="357">
        <f>IF(Report!$G$4=C54,1,IF(Report!$H$4=C54,1,0))</f>
        <v>0</v>
      </c>
      <c r="K54" s="358">
        <f>SUM($J$25:J54)</f>
        <v>0</v>
      </c>
      <c r="L54" s="359"/>
    </row>
    <row r="55" spans="1:12" x14ac:dyDescent="0.35">
      <c r="A55" s="340" t="str">
        <f>IF(OR(C55&gt;Report!$H$4,C55&lt;Report!$G$4),"",IF(OR(J55*K55=1,K55-J55=1),'!'!$GJ$14,""))</f>
        <v/>
      </c>
      <c r="B55" s="332">
        <f>IF(A55="",0,COUNTIF($A$25:$A55,'!'!$GJ$14))</f>
        <v>0</v>
      </c>
      <c r="C55" s="365"/>
      <c r="D55" s="328"/>
      <c r="E55" s="329"/>
      <c r="F55" s="329"/>
      <c r="G55" s="329"/>
      <c r="H55" s="364"/>
      <c r="I55" s="339" t="str">
        <f>IF(OR(VLOOKUP(C55,'!'!$GU$24:$HE$390,'!'!HE$17,FALSE)&gt;'!'!$GL$8,VLOOKUP(C55,'!'!$GU$24:$HE$390,'!'!HE$17,FALSE)&lt;'!'!$GL$7+1),"",$I$12)</f>
        <v/>
      </c>
      <c r="J55" s="357">
        <f>IF(Report!$G$4=C55,1,IF(Report!$H$4=C55,1,0))</f>
        <v>0</v>
      </c>
      <c r="K55" s="358">
        <f>SUM($J$25:J55)</f>
        <v>0</v>
      </c>
      <c r="L55" s="359"/>
    </row>
    <row r="56" spans="1:12" x14ac:dyDescent="0.35">
      <c r="A56" s="340" t="str">
        <f>IF(OR(C56&gt;Report!$H$4,C56&lt;Report!$G$4),"",IF(OR(J56*K56=1,K56-J56=1),'!'!$GJ$14,""))</f>
        <v/>
      </c>
      <c r="B56" s="332">
        <f>IF(A56="",0,COUNTIF($A$25:$A56,'!'!$GJ$14))</f>
        <v>0</v>
      </c>
      <c r="C56" s="365"/>
      <c r="D56" s="328"/>
      <c r="E56" s="329"/>
      <c r="F56" s="329"/>
      <c r="G56" s="329"/>
      <c r="H56" s="364"/>
      <c r="I56" s="339" t="str">
        <f>IF(OR(VLOOKUP(C56,'!'!$GU$24:$HE$390,'!'!HE$17,FALSE)&gt;'!'!$GL$8,VLOOKUP(C56,'!'!$GU$24:$HE$390,'!'!HE$17,FALSE)&lt;'!'!$GL$7+1),"",$I$12)</f>
        <v/>
      </c>
      <c r="J56" s="357">
        <f>IF(Report!$G$4=C56,1,IF(Report!$H$4=C56,1,0))</f>
        <v>0</v>
      </c>
      <c r="K56" s="358">
        <f>SUM($J$25:J56)</f>
        <v>0</v>
      </c>
      <c r="L56" s="359"/>
    </row>
    <row r="57" spans="1:12" x14ac:dyDescent="0.35">
      <c r="A57" s="340" t="str">
        <f>IF(OR(C57&gt;Report!$H$4,C57&lt;Report!$G$4),"",IF(OR(J57*K57=1,K57-J57=1),'!'!$GJ$14,""))</f>
        <v/>
      </c>
      <c r="B57" s="332">
        <f>IF(A57="",0,COUNTIF($A$25:$A57,'!'!$GJ$14))</f>
        <v>0</v>
      </c>
      <c r="C57" s="365"/>
      <c r="D57" s="328"/>
      <c r="E57" s="329"/>
      <c r="F57" s="329"/>
      <c r="G57" s="329"/>
      <c r="H57" s="364"/>
      <c r="I57" s="339" t="str">
        <f>IF(OR(VLOOKUP(C57,'!'!$GU$24:$HE$390,'!'!HE$17,FALSE)&gt;'!'!$GL$8,VLOOKUP(C57,'!'!$GU$24:$HE$390,'!'!HE$17,FALSE)&lt;'!'!$GL$7+1),"",$I$12)</f>
        <v/>
      </c>
      <c r="J57" s="357">
        <f>IF(Report!$G$4=C57,1,IF(Report!$H$4=C57,1,0))</f>
        <v>0</v>
      </c>
      <c r="K57" s="358">
        <f>SUM($J$25:J57)</f>
        <v>0</v>
      </c>
      <c r="L57" s="359"/>
    </row>
    <row r="58" spans="1:12" x14ac:dyDescent="0.35">
      <c r="A58" s="340" t="str">
        <f>IF(OR(C58&gt;Report!$H$4,C58&lt;Report!$G$4),"",IF(OR(J58*K58=1,K58-J58=1),'!'!$GJ$14,""))</f>
        <v/>
      </c>
      <c r="B58" s="332">
        <f>IF(A58="",0,COUNTIF($A$25:$A58,'!'!$GJ$14))</f>
        <v>0</v>
      </c>
      <c r="C58" s="365"/>
      <c r="D58" s="328"/>
      <c r="E58" s="329"/>
      <c r="F58" s="329"/>
      <c r="G58" s="329"/>
      <c r="H58" s="364"/>
      <c r="I58" s="339" t="str">
        <f>IF(OR(VLOOKUP(C58,'!'!$GU$24:$HE$390,'!'!HE$17,FALSE)&gt;'!'!$GL$8,VLOOKUP(C58,'!'!$GU$24:$HE$390,'!'!HE$17,FALSE)&lt;'!'!$GL$7+1),"",$I$12)</f>
        <v/>
      </c>
      <c r="J58" s="357">
        <f>IF(Report!$G$4=C58,1,IF(Report!$H$4=C58,1,0))</f>
        <v>0</v>
      </c>
      <c r="K58" s="358">
        <f>SUM($J$25:J58)</f>
        <v>0</v>
      </c>
      <c r="L58" s="359"/>
    </row>
    <row r="59" spans="1:12" x14ac:dyDescent="0.35">
      <c r="A59" s="340" t="str">
        <f>IF(OR(C59&gt;Report!$H$4,C59&lt;Report!$G$4),"",IF(OR(J59*K59=1,K59-J59=1),'!'!$GJ$14,""))</f>
        <v/>
      </c>
      <c r="B59" s="332">
        <f>IF(A59="",0,COUNTIF($A$25:$A59,'!'!$GJ$14))</f>
        <v>0</v>
      </c>
      <c r="C59" s="365"/>
      <c r="D59" s="328"/>
      <c r="E59" s="329"/>
      <c r="F59" s="329"/>
      <c r="G59" s="329"/>
      <c r="H59" s="364"/>
      <c r="I59" s="339" t="str">
        <f>IF(OR(VLOOKUP(C59,'!'!$GU$24:$HE$390,'!'!HE$17,FALSE)&gt;'!'!$GL$8,VLOOKUP(C59,'!'!$GU$24:$HE$390,'!'!HE$17,FALSE)&lt;'!'!$GL$7+1),"",$I$12)</f>
        <v/>
      </c>
      <c r="J59" s="357">
        <f>IF(Report!$G$4=C59,1,IF(Report!$H$4=C59,1,0))</f>
        <v>0</v>
      </c>
      <c r="K59" s="358">
        <f>SUM($J$25:J59)</f>
        <v>0</v>
      </c>
      <c r="L59" s="359"/>
    </row>
    <row r="60" spans="1:12" x14ac:dyDescent="0.35">
      <c r="A60" s="340" t="str">
        <f>IF(OR(C60&gt;Report!$H$4,C60&lt;Report!$G$4),"",IF(OR(J60*K60=1,K60-J60=1),'!'!$GJ$14,""))</f>
        <v/>
      </c>
      <c r="B60" s="332">
        <f>IF(A60="",0,COUNTIF($A$25:$A60,'!'!$GJ$14))</f>
        <v>0</v>
      </c>
      <c r="C60" s="365"/>
      <c r="D60" s="328"/>
      <c r="E60" s="329"/>
      <c r="F60" s="329"/>
      <c r="G60" s="329"/>
      <c r="H60" s="364"/>
      <c r="I60" s="339" t="str">
        <f>IF(OR(VLOOKUP(C60,'!'!$GU$24:$HE$390,'!'!HE$17,FALSE)&gt;'!'!$GL$8,VLOOKUP(C60,'!'!$GU$24:$HE$390,'!'!HE$17,FALSE)&lt;'!'!$GL$7+1),"",$I$12)</f>
        <v/>
      </c>
      <c r="J60" s="357">
        <f>IF(Report!$G$4=C60,1,IF(Report!$H$4=C60,1,0))</f>
        <v>0</v>
      </c>
      <c r="K60" s="358">
        <f>SUM($J$25:J60)</f>
        <v>0</v>
      </c>
      <c r="L60" s="359"/>
    </row>
    <row r="61" spans="1:12" x14ac:dyDescent="0.35">
      <c r="A61" s="340" t="str">
        <f>IF(OR(C61&gt;Report!$H$4,C61&lt;Report!$G$4),"",IF(OR(J61*K61=1,K61-J61=1),'!'!$GJ$14,""))</f>
        <v/>
      </c>
      <c r="B61" s="332">
        <f>IF(A61="",0,COUNTIF($A$25:$A61,'!'!$GJ$14))</f>
        <v>0</v>
      </c>
      <c r="C61" s="365"/>
      <c r="D61" s="328"/>
      <c r="E61" s="329"/>
      <c r="F61" s="329"/>
      <c r="G61" s="329"/>
      <c r="H61" s="364"/>
      <c r="I61" s="339" t="str">
        <f>IF(OR(VLOOKUP(C61,'!'!$GU$24:$HE$390,'!'!HE$17,FALSE)&gt;'!'!$GL$8,VLOOKUP(C61,'!'!$GU$24:$HE$390,'!'!HE$17,FALSE)&lt;'!'!$GL$7+1),"",$I$12)</f>
        <v/>
      </c>
      <c r="J61" s="357">
        <f>IF(Report!$G$4=C61,1,IF(Report!$H$4=C61,1,0))</f>
        <v>0</v>
      </c>
      <c r="K61" s="358">
        <f>SUM($J$25:J61)</f>
        <v>0</v>
      </c>
      <c r="L61" s="359"/>
    </row>
    <row r="62" spans="1:12" x14ac:dyDescent="0.35">
      <c r="A62" s="340" t="str">
        <f>IF(OR(C62&gt;Report!$H$4,C62&lt;Report!$G$4),"",IF(OR(J62*K62=1,K62-J62=1),'!'!$GJ$14,""))</f>
        <v/>
      </c>
      <c r="B62" s="332">
        <f>IF(A62="",0,COUNTIF($A$25:$A62,'!'!$GJ$14))</f>
        <v>0</v>
      </c>
      <c r="C62" s="365"/>
      <c r="D62" s="328"/>
      <c r="E62" s="329"/>
      <c r="F62" s="329"/>
      <c r="G62" s="329"/>
      <c r="H62" s="364"/>
      <c r="I62" s="339" t="str">
        <f>IF(OR(VLOOKUP(C62,'!'!$GU$24:$HE$390,'!'!HE$17,FALSE)&gt;'!'!$GL$8,VLOOKUP(C62,'!'!$GU$24:$HE$390,'!'!HE$17,FALSE)&lt;'!'!$GL$7+1),"",$I$12)</f>
        <v/>
      </c>
      <c r="J62" s="357">
        <f>IF(Report!$G$4=C62,1,IF(Report!$H$4=C62,1,0))</f>
        <v>0</v>
      </c>
      <c r="K62" s="358">
        <f>SUM($J$25:J62)</f>
        <v>0</v>
      </c>
      <c r="L62" s="359"/>
    </row>
    <row r="63" spans="1:12" x14ac:dyDescent="0.35">
      <c r="A63" s="340" t="str">
        <f>IF(OR(C63&gt;Report!$H$4,C63&lt;Report!$G$4),"",IF(OR(J63*K63=1,K63-J63=1),'!'!$GJ$14,""))</f>
        <v/>
      </c>
      <c r="B63" s="332">
        <f>IF(A63="",0,COUNTIF($A$25:$A63,'!'!$GJ$14))</f>
        <v>0</v>
      </c>
      <c r="C63" s="365"/>
      <c r="D63" s="328"/>
      <c r="E63" s="329"/>
      <c r="F63" s="329"/>
      <c r="G63" s="329"/>
      <c r="H63" s="364"/>
      <c r="I63" s="339" t="str">
        <f>IF(OR(VLOOKUP(C63,'!'!$GU$24:$HE$390,'!'!HE$17,FALSE)&gt;'!'!$GL$8,VLOOKUP(C63,'!'!$GU$24:$HE$390,'!'!HE$17,FALSE)&lt;'!'!$GL$7+1),"",$I$12)</f>
        <v/>
      </c>
      <c r="J63" s="357">
        <f>IF(Report!$G$4=C63,1,IF(Report!$H$4=C63,1,0))</f>
        <v>0</v>
      </c>
      <c r="K63" s="358">
        <f>SUM($J$25:J63)</f>
        <v>0</v>
      </c>
      <c r="L63" s="359"/>
    </row>
    <row r="64" spans="1:12" x14ac:dyDescent="0.35">
      <c r="A64" s="340" t="str">
        <f>IF(OR(C64&gt;Report!$H$4,C64&lt;Report!$G$4),"",IF(OR(J64*K64=1,K64-J64=1),'!'!$GJ$14,""))</f>
        <v/>
      </c>
      <c r="B64" s="332">
        <f>IF(A64="",0,COUNTIF($A$25:$A64,'!'!$GJ$14))</f>
        <v>0</v>
      </c>
      <c r="C64" s="365"/>
      <c r="D64" s="328"/>
      <c r="E64" s="329"/>
      <c r="F64" s="329"/>
      <c r="G64" s="329"/>
      <c r="H64" s="364"/>
      <c r="I64" s="339" t="str">
        <f>IF(OR(VLOOKUP(C64,'!'!$GU$24:$HE$390,'!'!HE$17,FALSE)&gt;'!'!$GL$8,VLOOKUP(C64,'!'!$GU$24:$HE$390,'!'!HE$17,FALSE)&lt;'!'!$GL$7+1),"",$I$12)</f>
        <v/>
      </c>
      <c r="J64" s="357">
        <f>IF(Report!$G$4=C64,1,IF(Report!$H$4=C64,1,0))</f>
        <v>0</v>
      </c>
      <c r="K64" s="358">
        <f>SUM($J$25:J64)</f>
        <v>0</v>
      </c>
      <c r="L64" s="359"/>
    </row>
    <row r="65" spans="1:12" x14ac:dyDescent="0.35">
      <c r="A65" s="340" t="str">
        <f>IF(OR(C65&gt;Report!$H$4,C65&lt;Report!$G$4),"",IF(OR(J65*K65=1,K65-J65=1),'!'!$GJ$14,""))</f>
        <v/>
      </c>
      <c r="B65" s="332">
        <f>IF(A65="",0,COUNTIF($A$25:$A65,'!'!$GJ$14))</f>
        <v>0</v>
      </c>
      <c r="C65" s="365"/>
      <c r="D65" s="328"/>
      <c r="E65" s="329"/>
      <c r="F65" s="329"/>
      <c r="G65" s="329"/>
      <c r="H65" s="364"/>
      <c r="I65" s="339" t="str">
        <f>IF(OR(VLOOKUP(C65,'!'!$GU$24:$HE$390,'!'!HE$17,FALSE)&gt;'!'!$GL$8,VLOOKUP(C65,'!'!$GU$24:$HE$390,'!'!HE$17,FALSE)&lt;'!'!$GL$7+1),"",$I$12)</f>
        <v/>
      </c>
      <c r="J65" s="357">
        <f>IF(Report!$G$4=C65,1,IF(Report!$H$4=C65,1,0))</f>
        <v>0</v>
      </c>
      <c r="K65" s="358">
        <f>SUM($J$25:J65)</f>
        <v>0</v>
      </c>
      <c r="L65" s="359"/>
    </row>
    <row r="66" spans="1:12" x14ac:dyDescent="0.35">
      <c r="A66" s="340" t="str">
        <f>IF(OR(C66&gt;Report!$H$4,C66&lt;Report!$G$4),"",IF(OR(J66*K66=1,K66-J66=1),'!'!$GJ$14,""))</f>
        <v/>
      </c>
      <c r="B66" s="332">
        <f>IF(A66="",0,COUNTIF($A$25:$A66,'!'!$GJ$14))</f>
        <v>0</v>
      </c>
      <c r="C66" s="365"/>
      <c r="D66" s="328"/>
      <c r="E66" s="329"/>
      <c r="F66" s="329"/>
      <c r="G66" s="329"/>
      <c r="H66" s="364"/>
      <c r="I66" s="339" t="str">
        <f>IF(OR(VLOOKUP(C66,'!'!$GU$24:$HE$390,'!'!HE$17,FALSE)&gt;'!'!$GL$8,VLOOKUP(C66,'!'!$GU$24:$HE$390,'!'!HE$17,FALSE)&lt;'!'!$GL$7+1),"",$I$12)</f>
        <v/>
      </c>
      <c r="J66" s="357">
        <f>IF(Report!$G$4=C66,1,IF(Report!$H$4=C66,1,0))</f>
        <v>0</v>
      </c>
      <c r="K66" s="358">
        <f>SUM($J$25:J66)</f>
        <v>0</v>
      </c>
      <c r="L66" s="359"/>
    </row>
    <row r="67" spans="1:12" x14ac:dyDescent="0.35">
      <c r="A67" s="340" t="str">
        <f>IF(OR(C67&gt;Report!$H$4,C67&lt;Report!$G$4),"",IF(OR(J67*K67=1,K67-J67=1),'!'!$GJ$14,""))</f>
        <v/>
      </c>
      <c r="B67" s="332">
        <f>IF(A67="",0,COUNTIF($A$25:$A67,'!'!$GJ$14))</f>
        <v>0</v>
      </c>
      <c r="C67" s="365"/>
      <c r="D67" s="328"/>
      <c r="E67" s="329"/>
      <c r="F67" s="329"/>
      <c r="G67" s="329"/>
      <c r="H67" s="364"/>
      <c r="I67" s="339" t="str">
        <f>IF(OR(VLOOKUP(C67,'!'!$GU$24:$HE$390,'!'!HE$17,FALSE)&gt;'!'!$GL$8,VLOOKUP(C67,'!'!$GU$24:$HE$390,'!'!HE$17,FALSE)&lt;'!'!$GL$7+1),"",$I$12)</f>
        <v/>
      </c>
      <c r="J67" s="357">
        <f>IF(Report!$G$4=C67,1,IF(Report!$H$4=C67,1,0))</f>
        <v>0</v>
      </c>
      <c r="K67" s="358">
        <f>SUM($J$25:J67)</f>
        <v>0</v>
      </c>
      <c r="L67" s="359"/>
    </row>
    <row r="68" spans="1:12" x14ac:dyDescent="0.35">
      <c r="A68" s="340" t="str">
        <f>IF(OR(C68&gt;Report!$H$4,C68&lt;Report!$G$4),"",IF(OR(J68*K68=1,K68-J68=1),'!'!$GJ$14,""))</f>
        <v/>
      </c>
      <c r="B68" s="332">
        <f>IF(A68="",0,COUNTIF($A$25:$A68,'!'!$GJ$14))</f>
        <v>0</v>
      </c>
      <c r="C68" s="365"/>
      <c r="D68" s="328"/>
      <c r="E68" s="329"/>
      <c r="F68" s="329"/>
      <c r="G68" s="329"/>
      <c r="H68" s="364"/>
      <c r="I68" s="339" t="str">
        <f>IF(OR(VLOOKUP(C68,'!'!$GU$24:$HE$390,'!'!HE$17,FALSE)&gt;'!'!$GL$8,VLOOKUP(C68,'!'!$GU$24:$HE$390,'!'!HE$17,FALSE)&lt;'!'!$GL$7+1),"",$I$12)</f>
        <v/>
      </c>
      <c r="J68" s="357">
        <f>IF(Report!$G$4=C68,1,IF(Report!$H$4=C68,1,0))</f>
        <v>0</v>
      </c>
      <c r="K68" s="358">
        <f>SUM($J$25:J68)</f>
        <v>0</v>
      </c>
      <c r="L68" s="359"/>
    </row>
    <row r="69" spans="1:12" x14ac:dyDescent="0.35">
      <c r="A69" s="340" t="str">
        <f>IF(OR(C69&gt;Report!$H$4,C69&lt;Report!$G$4),"",IF(OR(J69*K69=1,K69-J69=1),'!'!$GJ$14,""))</f>
        <v/>
      </c>
      <c r="B69" s="332">
        <f>IF(A69="",0,COUNTIF($A$25:$A69,'!'!$GJ$14))</f>
        <v>0</v>
      </c>
      <c r="C69" s="365"/>
      <c r="D69" s="328"/>
      <c r="E69" s="329"/>
      <c r="F69" s="329"/>
      <c r="G69" s="329"/>
      <c r="H69" s="364"/>
      <c r="I69" s="339" t="str">
        <f>IF(OR(VLOOKUP(C69,'!'!$GU$24:$HE$390,'!'!HE$17,FALSE)&gt;'!'!$GL$8,VLOOKUP(C69,'!'!$GU$24:$HE$390,'!'!HE$17,FALSE)&lt;'!'!$GL$7+1),"",$I$12)</f>
        <v/>
      </c>
      <c r="J69" s="357">
        <f>IF(Report!$G$4=C69,1,IF(Report!$H$4=C69,1,0))</f>
        <v>0</v>
      </c>
      <c r="K69" s="358">
        <f>SUM($J$25:J69)</f>
        <v>0</v>
      </c>
      <c r="L69" s="359"/>
    </row>
    <row r="70" spans="1:12" x14ac:dyDescent="0.35">
      <c r="A70" s="340" t="str">
        <f>IF(OR(C70&gt;Report!$H$4,C70&lt;Report!$G$4),"",IF(OR(J70*K70=1,K70-J70=1),'!'!$GJ$14,""))</f>
        <v/>
      </c>
      <c r="B70" s="332">
        <f>IF(A70="",0,COUNTIF($A$25:$A70,'!'!$GJ$14))</f>
        <v>0</v>
      </c>
      <c r="C70" s="365"/>
      <c r="D70" s="328"/>
      <c r="E70" s="329"/>
      <c r="F70" s="329"/>
      <c r="G70" s="329"/>
      <c r="H70" s="364"/>
      <c r="I70" s="339" t="str">
        <f>IF(OR(VLOOKUP(C70,'!'!$GU$24:$HE$390,'!'!HE$17,FALSE)&gt;'!'!$GL$8,VLOOKUP(C70,'!'!$GU$24:$HE$390,'!'!HE$17,FALSE)&lt;'!'!$GL$7+1),"",$I$12)</f>
        <v/>
      </c>
      <c r="J70" s="357">
        <f>IF(Report!$G$4=C70,1,IF(Report!$H$4=C70,1,0))</f>
        <v>0</v>
      </c>
      <c r="K70" s="358">
        <f>SUM($J$25:J70)</f>
        <v>0</v>
      </c>
      <c r="L70" s="359"/>
    </row>
    <row r="71" spans="1:12" x14ac:dyDescent="0.35">
      <c r="A71" s="340" t="str">
        <f>IF(OR(C71&gt;Report!$H$4,C71&lt;Report!$G$4),"",IF(OR(J71*K71=1,K71-J71=1),'!'!$GJ$14,""))</f>
        <v/>
      </c>
      <c r="B71" s="332">
        <f>IF(A71="",0,COUNTIF($A$25:$A71,'!'!$GJ$14))</f>
        <v>0</v>
      </c>
      <c r="C71" s="365"/>
      <c r="D71" s="328"/>
      <c r="E71" s="329"/>
      <c r="F71" s="329"/>
      <c r="G71" s="329"/>
      <c r="H71" s="364"/>
      <c r="I71" s="339" t="str">
        <f>IF(OR(VLOOKUP(C71,'!'!$GU$24:$HE$390,'!'!HE$17,FALSE)&gt;'!'!$GL$8,VLOOKUP(C71,'!'!$GU$24:$HE$390,'!'!HE$17,FALSE)&lt;'!'!$GL$7+1),"",$I$12)</f>
        <v/>
      </c>
      <c r="J71" s="357">
        <f>IF(Report!$G$4=C71,1,IF(Report!$H$4=C71,1,0))</f>
        <v>0</v>
      </c>
      <c r="K71" s="358">
        <f>SUM($J$25:J71)</f>
        <v>0</v>
      </c>
      <c r="L71" s="359"/>
    </row>
    <row r="72" spans="1:12" x14ac:dyDescent="0.35">
      <c r="A72" s="340" t="str">
        <f>IF(OR(C72&gt;Report!$H$4,C72&lt;Report!$G$4),"",IF(OR(J72*K72=1,K72-J72=1),'!'!$GJ$14,""))</f>
        <v/>
      </c>
      <c r="B72" s="332">
        <f>IF(A72="",0,COUNTIF($A$25:$A72,'!'!$GJ$14))</f>
        <v>0</v>
      </c>
      <c r="C72" s="365"/>
      <c r="D72" s="328"/>
      <c r="E72" s="329"/>
      <c r="F72" s="329"/>
      <c r="G72" s="329"/>
      <c r="H72" s="364"/>
      <c r="I72" s="339" t="str">
        <f>IF(OR(VLOOKUP(C72,'!'!$GU$24:$HE$390,'!'!HE$17,FALSE)&gt;'!'!$GL$8,VLOOKUP(C72,'!'!$GU$24:$HE$390,'!'!HE$17,FALSE)&lt;'!'!$GL$7+1),"",$I$12)</f>
        <v/>
      </c>
      <c r="J72" s="357">
        <f>IF(Report!$G$4=C72,1,IF(Report!$H$4=C72,1,0))</f>
        <v>0</v>
      </c>
      <c r="K72" s="358">
        <f>SUM($J$25:J72)</f>
        <v>0</v>
      </c>
      <c r="L72" s="359"/>
    </row>
    <row r="73" spans="1:12" x14ac:dyDescent="0.35">
      <c r="A73" s="340" t="str">
        <f>IF(OR(C73&gt;Report!$H$4,C73&lt;Report!$G$4),"",IF(OR(J73*K73=1,K73-J73=1),'!'!$GJ$14,""))</f>
        <v/>
      </c>
      <c r="B73" s="332">
        <f>IF(A73="",0,COUNTIF($A$25:$A73,'!'!$GJ$14))</f>
        <v>0</v>
      </c>
      <c r="C73" s="365"/>
      <c r="D73" s="328"/>
      <c r="E73" s="329"/>
      <c r="F73" s="329"/>
      <c r="G73" s="329"/>
      <c r="H73" s="364"/>
      <c r="I73" s="339" t="str">
        <f>IF(OR(VLOOKUP(C73,'!'!$GU$24:$HE$390,'!'!HE$17,FALSE)&gt;'!'!$GL$8,VLOOKUP(C73,'!'!$GU$24:$HE$390,'!'!HE$17,FALSE)&lt;'!'!$GL$7+1),"",$I$12)</f>
        <v/>
      </c>
      <c r="J73" s="357">
        <f>IF(Report!$G$4=C73,1,IF(Report!$H$4=C73,1,0))</f>
        <v>0</v>
      </c>
      <c r="K73" s="358">
        <f>SUM($J$25:J73)</f>
        <v>0</v>
      </c>
      <c r="L73" s="359"/>
    </row>
    <row r="74" spans="1:12" x14ac:dyDescent="0.35">
      <c r="A74" s="340" t="str">
        <f>IF(OR(C74&gt;Report!$H$4,C74&lt;Report!$G$4),"",IF(OR(J74*K74=1,K74-J74=1),'!'!$GJ$14,""))</f>
        <v/>
      </c>
      <c r="B74" s="332">
        <f>IF(A74="",0,COUNTIF($A$25:$A74,'!'!$GJ$14))</f>
        <v>0</v>
      </c>
      <c r="C74" s="365"/>
      <c r="D74" s="328"/>
      <c r="E74" s="329"/>
      <c r="F74" s="329"/>
      <c r="G74" s="329"/>
      <c r="H74" s="364"/>
      <c r="I74" s="339" t="str">
        <f>IF(OR(VLOOKUP(C74,'!'!$GU$24:$HE$390,'!'!HE$17,FALSE)&gt;'!'!$GL$8,VLOOKUP(C74,'!'!$GU$24:$HE$390,'!'!HE$17,FALSE)&lt;'!'!$GL$7+1),"",$I$12)</f>
        <v/>
      </c>
      <c r="J74" s="357">
        <f>IF(Report!$G$4=C74,1,IF(Report!$H$4=C74,1,0))</f>
        <v>0</v>
      </c>
      <c r="K74" s="358">
        <f>SUM($J$25:J74)</f>
        <v>0</v>
      </c>
      <c r="L74" s="359"/>
    </row>
    <row r="75" spans="1:12" x14ac:dyDescent="0.35">
      <c r="A75" s="340" t="str">
        <f>IF(OR(C75&gt;Report!$H$4,C75&lt;Report!$G$4),"",IF(OR(J75*K75=1,K75-J75=1),'!'!$GJ$14,""))</f>
        <v/>
      </c>
      <c r="B75" s="332">
        <f>IF(A75="",0,COUNTIF($A$25:$A75,'!'!$GJ$14))</f>
        <v>0</v>
      </c>
      <c r="C75" s="365"/>
      <c r="D75" s="328"/>
      <c r="E75" s="329"/>
      <c r="F75" s="329"/>
      <c r="G75" s="329"/>
      <c r="H75" s="364"/>
      <c r="I75" s="339" t="str">
        <f>IF(OR(VLOOKUP(C75,'!'!$GU$24:$HE$390,'!'!HE$17,FALSE)&gt;'!'!$GL$8,VLOOKUP(C75,'!'!$GU$24:$HE$390,'!'!HE$17,FALSE)&lt;'!'!$GL$7+1),"",$I$12)</f>
        <v/>
      </c>
      <c r="J75" s="357">
        <f>IF(Report!$G$4=C75,1,IF(Report!$H$4=C75,1,0))</f>
        <v>0</v>
      </c>
      <c r="K75" s="358">
        <f>SUM($J$25:J75)</f>
        <v>0</v>
      </c>
      <c r="L75" s="359"/>
    </row>
    <row r="76" spans="1:12" x14ac:dyDescent="0.35">
      <c r="A76" s="340" t="str">
        <f>IF(OR(C76&gt;Report!$H$4,C76&lt;Report!$G$4),"",IF(OR(J76*K76=1,K76-J76=1),'!'!$GJ$14,""))</f>
        <v/>
      </c>
      <c r="B76" s="332">
        <f>IF(A76="",0,COUNTIF($A$25:$A76,'!'!$GJ$14))</f>
        <v>0</v>
      </c>
      <c r="C76" s="365"/>
      <c r="D76" s="328"/>
      <c r="E76" s="329"/>
      <c r="F76" s="329"/>
      <c r="G76" s="329"/>
      <c r="H76" s="364"/>
      <c r="I76" s="339" t="str">
        <f>IF(OR(VLOOKUP(C76,'!'!$GU$24:$HE$390,'!'!HE$17,FALSE)&gt;'!'!$GL$8,VLOOKUP(C76,'!'!$GU$24:$HE$390,'!'!HE$17,FALSE)&lt;'!'!$GL$7+1),"",$I$12)</f>
        <v/>
      </c>
      <c r="J76" s="357">
        <f>IF(Report!$G$4=C76,1,IF(Report!$H$4=C76,1,0))</f>
        <v>0</v>
      </c>
      <c r="K76" s="358">
        <f>SUM($J$25:J76)</f>
        <v>0</v>
      </c>
      <c r="L76" s="359"/>
    </row>
    <row r="77" spans="1:12" x14ac:dyDescent="0.35">
      <c r="A77" s="340" t="str">
        <f>IF(OR(C77&gt;Report!$H$4,C77&lt;Report!$G$4),"",IF(OR(J77*K77=1,K77-J77=1),'!'!$GJ$14,""))</f>
        <v/>
      </c>
      <c r="B77" s="332">
        <f>IF(A77="",0,COUNTIF($A$25:$A77,'!'!$GJ$14))</f>
        <v>0</v>
      </c>
      <c r="C77" s="365"/>
      <c r="D77" s="328"/>
      <c r="E77" s="329"/>
      <c r="F77" s="329"/>
      <c r="G77" s="329"/>
      <c r="H77" s="364"/>
      <c r="I77" s="339" t="str">
        <f>IF(OR(VLOOKUP(C77,'!'!$GU$24:$HE$390,'!'!HE$17,FALSE)&gt;'!'!$GL$8,VLOOKUP(C77,'!'!$GU$24:$HE$390,'!'!HE$17,FALSE)&lt;'!'!$GL$7+1),"",$I$12)</f>
        <v/>
      </c>
      <c r="J77" s="357">
        <f>IF(Report!$G$4=C77,1,IF(Report!$H$4=C77,1,0))</f>
        <v>0</v>
      </c>
      <c r="K77" s="358">
        <f>SUM($J$25:J77)</f>
        <v>0</v>
      </c>
      <c r="L77" s="359"/>
    </row>
    <row r="78" spans="1:12" x14ac:dyDescent="0.35">
      <c r="A78" s="340" t="str">
        <f>IF(OR(C78&gt;Report!$H$4,C78&lt;Report!$G$4),"",IF(OR(J78*K78=1,K78-J78=1),'!'!$GJ$14,""))</f>
        <v/>
      </c>
      <c r="B78" s="332">
        <f>IF(A78="",0,COUNTIF($A$25:$A78,'!'!$GJ$14))</f>
        <v>0</v>
      </c>
      <c r="C78" s="365"/>
      <c r="D78" s="328"/>
      <c r="E78" s="329"/>
      <c r="F78" s="329"/>
      <c r="G78" s="329"/>
      <c r="H78" s="364"/>
      <c r="I78" s="339" t="str">
        <f>IF(OR(VLOOKUP(C78,'!'!$GU$24:$HE$390,'!'!HE$17,FALSE)&gt;'!'!$GL$8,VLOOKUP(C78,'!'!$GU$24:$HE$390,'!'!HE$17,FALSE)&lt;'!'!$GL$7+1),"",$I$12)</f>
        <v/>
      </c>
      <c r="J78" s="357">
        <f>IF(Report!$G$4=C78,1,IF(Report!$H$4=C78,1,0))</f>
        <v>0</v>
      </c>
      <c r="K78" s="358">
        <f>SUM($J$25:J78)</f>
        <v>0</v>
      </c>
      <c r="L78" s="359"/>
    </row>
    <row r="79" spans="1:12" x14ac:dyDescent="0.35">
      <c r="A79" s="340" t="str">
        <f>IF(OR(C79&gt;Report!$H$4,C79&lt;Report!$G$4),"",IF(OR(J79*K79=1,K79-J79=1),'!'!$GJ$14,""))</f>
        <v/>
      </c>
      <c r="B79" s="332">
        <f>IF(A79="",0,COUNTIF($A$25:$A79,'!'!$GJ$14))</f>
        <v>0</v>
      </c>
      <c r="C79" s="365"/>
      <c r="D79" s="328"/>
      <c r="E79" s="329"/>
      <c r="F79" s="329"/>
      <c r="G79" s="329"/>
      <c r="H79" s="364"/>
      <c r="I79" s="339" t="str">
        <f>IF(OR(VLOOKUP(C79,'!'!$GU$24:$HE$390,'!'!HE$17,FALSE)&gt;'!'!$GL$8,VLOOKUP(C79,'!'!$GU$24:$HE$390,'!'!HE$17,FALSE)&lt;'!'!$GL$7+1),"",$I$12)</f>
        <v/>
      </c>
      <c r="J79" s="357">
        <f>IF(Report!$G$4=C79,1,IF(Report!$H$4=C79,1,0))</f>
        <v>0</v>
      </c>
      <c r="K79" s="358">
        <f>SUM($J$25:J79)</f>
        <v>0</v>
      </c>
      <c r="L79" s="359"/>
    </row>
    <row r="80" spans="1:12" x14ac:dyDescent="0.35">
      <c r="A80" s="340" t="str">
        <f>IF(OR(C80&gt;Report!$H$4,C80&lt;Report!$G$4),"",IF(OR(J80*K80=1,K80-J80=1),'!'!$GJ$14,""))</f>
        <v/>
      </c>
      <c r="B80" s="332">
        <f>IF(A80="",0,COUNTIF($A$25:$A80,'!'!$GJ$14))</f>
        <v>0</v>
      </c>
      <c r="C80" s="365"/>
      <c r="D80" s="328"/>
      <c r="E80" s="329"/>
      <c r="F80" s="329"/>
      <c r="G80" s="329"/>
      <c r="H80" s="364"/>
      <c r="I80" s="339" t="str">
        <f>IF(OR(VLOOKUP(C80,'!'!$GU$24:$HE$390,'!'!HE$17,FALSE)&gt;'!'!$GL$8,VLOOKUP(C80,'!'!$GU$24:$HE$390,'!'!HE$17,FALSE)&lt;'!'!$GL$7+1),"",$I$12)</f>
        <v/>
      </c>
      <c r="J80" s="357">
        <f>IF(Report!$G$4=C80,1,IF(Report!$H$4=C80,1,0))</f>
        <v>0</v>
      </c>
      <c r="K80" s="358">
        <f>SUM($J$25:J80)</f>
        <v>0</v>
      </c>
      <c r="L80" s="359"/>
    </row>
    <row r="81" spans="1:12" x14ac:dyDescent="0.35">
      <c r="A81" s="340" t="str">
        <f>IF(OR(C81&gt;Report!$H$4,C81&lt;Report!$G$4),"",IF(OR(J81*K81=1,K81-J81=1),'!'!$GJ$14,""))</f>
        <v/>
      </c>
      <c r="B81" s="332">
        <f>IF(A81="",0,COUNTIF($A$25:$A81,'!'!$GJ$14))</f>
        <v>0</v>
      </c>
      <c r="C81" s="365"/>
      <c r="D81" s="328"/>
      <c r="E81" s="329"/>
      <c r="F81" s="329"/>
      <c r="G81" s="329"/>
      <c r="H81" s="364"/>
      <c r="I81" s="339" t="str">
        <f>IF(OR(VLOOKUP(C81,'!'!$GU$24:$HE$390,'!'!HE$17,FALSE)&gt;'!'!$GL$8,VLOOKUP(C81,'!'!$GU$24:$HE$390,'!'!HE$17,FALSE)&lt;'!'!$GL$7+1),"",$I$12)</f>
        <v/>
      </c>
      <c r="J81" s="357">
        <f>IF(Report!$G$4=C81,1,IF(Report!$H$4=C81,1,0))</f>
        <v>0</v>
      </c>
      <c r="K81" s="358">
        <f>SUM($J$25:J81)</f>
        <v>0</v>
      </c>
      <c r="L81" s="359"/>
    </row>
    <row r="82" spans="1:12" x14ac:dyDescent="0.35">
      <c r="A82" s="340" t="str">
        <f>IF(OR(C82&gt;Report!$H$4,C82&lt;Report!$G$4),"",IF(OR(J82*K82=1,K82-J82=1),'!'!$GJ$14,""))</f>
        <v/>
      </c>
      <c r="B82" s="332">
        <f>IF(A82="",0,COUNTIF($A$25:$A82,'!'!$GJ$14))</f>
        <v>0</v>
      </c>
      <c r="C82" s="365"/>
      <c r="D82" s="328"/>
      <c r="E82" s="329"/>
      <c r="F82" s="329"/>
      <c r="G82" s="329"/>
      <c r="H82" s="364"/>
      <c r="I82" s="339" t="str">
        <f>IF(OR(VLOOKUP(C82,'!'!$GU$24:$HE$390,'!'!HE$17,FALSE)&gt;'!'!$GL$8,VLOOKUP(C82,'!'!$GU$24:$HE$390,'!'!HE$17,FALSE)&lt;'!'!$GL$7+1),"",$I$12)</f>
        <v/>
      </c>
      <c r="J82" s="357">
        <f>IF(Report!$G$4=C82,1,IF(Report!$H$4=C82,1,0))</f>
        <v>0</v>
      </c>
      <c r="K82" s="358">
        <f>SUM($J$25:J82)</f>
        <v>0</v>
      </c>
      <c r="L82" s="359"/>
    </row>
    <row r="83" spans="1:12" x14ac:dyDescent="0.35">
      <c r="A83" s="340" t="str">
        <f>IF(OR(C83&gt;Report!$H$4,C83&lt;Report!$G$4),"",IF(OR(J83*K83=1,K83-J83=1),'!'!$GJ$14,""))</f>
        <v/>
      </c>
      <c r="B83" s="332">
        <f>IF(A83="",0,COUNTIF($A$25:$A83,'!'!$GJ$14))</f>
        <v>0</v>
      </c>
      <c r="C83" s="365"/>
      <c r="D83" s="328"/>
      <c r="E83" s="329"/>
      <c r="F83" s="329"/>
      <c r="G83" s="329"/>
      <c r="H83" s="364"/>
      <c r="I83" s="339" t="str">
        <f>IF(OR(VLOOKUP(C83,'!'!$GU$24:$HE$390,'!'!HE$17,FALSE)&gt;'!'!$GL$8,VLOOKUP(C83,'!'!$GU$24:$HE$390,'!'!HE$17,FALSE)&lt;'!'!$GL$7+1),"",$I$12)</f>
        <v/>
      </c>
      <c r="J83" s="357">
        <f>IF(Report!$G$4=C83,1,IF(Report!$H$4=C83,1,0))</f>
        <v>0</v>
      </c>
      <c r="K83" s="358">
        <f>SUM($J$25:J83)</f>
        <v>0</v>
      </c>
      <c r="L83" s="359"/>
    </row>
    <row r="84" spans="1:12" x14ac:dyDescent="0.35">
      <c r="A84" s="340" t="str">
        <f>IF(OR(C84&gt;Report!$H$4,C84&lt;Report!$G$4),"",IF(OR(J84*K84=1,K84-J84=1),'!'!$GJ$14,""))</f>
        <v/>
      </c>
      <c r="B84" s="332">
        <f>IF(A84="",0,COUNTIF($A$25:$A84,'!'!$GJ$14))</f>
        <v>0</v>
      </c>
      <c r="C84" s="365"/>
      <c r="D84" s="328"/>
      <c r="E84" s="329"/>
      <c r="F84" s="329"/>
      <c r="G84" s="329"/>
      <c r="H84" s="364"/>
      <c r="I84" s="339" t="str">
        <f>IF(OR(VLOOKUP(C84,'!'!$GU$24:$HE$390,'!'!HE$17,FALSE)&gt;'!'!$GL$8,VLOOKUP(C84,'!'!$GU$24:$HE$390,'!'!HE$17,FALSE)&lt;'!'!$GL$7+1),"",$I$12)</f>
        <v/>
      </c>
      <c r="J84" s="357">
        <f>IF(Report!$G$4=C84,1,IF(Report!$H$4=C84,1,0))</f>
        <v>0</v>
      </c>
      <c r="K84" s="358">
        <f>SUM($J$25:J84)</f>
        <v>0</v>
      </c>
      <c r="L84" s="359"/>
    </row>
    <row r="85" spans="1:12" x14ac:dyDescent="0.35">
      <c r="A85" s="340" t="str">
        <f>IF(OR(C85&gt;Report!$H$4,C85&lt;Report!$G$4),"",IF(OR(J85*K85=1,K85-J85=1),'!'!$GJ$14,""))</f>
        <v/>
      </c>
      <c r="B85" s="332">
        <f>IF(A85="",0,COUNTIF($A$25:$A85,'!'!$GJ$14))</f>
        <v>0</v>
      </c>
      <c r="C85" s="365"/>
      <c r="D85" s="328"/>
      <c r="E85" s="329"/>
      <c r="F85" s="329"/>
      <c r="G85" s="329"/>
      <c r="H85" s="364"/>
      <c r="I85" s="339" t="str">
        <f>IF(OR(VLOOKUP(C85,'!'!$GU$24:$HE$390,'!'!HE$17,FALSE)&gt;'!'!$GL$8,VLOOKUP(C85,'!'!$GU$24:$HE$390,'!'!HE$17,FALSE)&lt;'!'!$GL$7+1),"",$I$12)</f>
        <v/>
      </c>
      <c r="J85" s="357">
        <f>IF(Report!$G$4=C85,1,IF(Report!$H$4=C85,1,0))</f>
        <v>0</v>
      </c>
      <c r="K85" s="358">
        <f>SUM($J$25:J85)</f>
        <v>0</v>
      </c>
      <c r="L85" s="359"/>
    </row>
    <row r="86" spans="1:12" x14ac:dyDescent="0.35">
      <c r="A86" s="340" t="str">
        <f>IF(OR(C86&gt;Report!$H$4,C86&lt;Report!$G$4),"",IF(OR(J86*K86=1,K86-J86=1),'!'!$GJ$14,""))</f>
        <v/>
      </c>
      <c r="B86" s="332">
        <f>IF(A86="",0,COUNTIF($A$25:$A86,'!'!$GJ$14))</f>
        <v>0</v>
      </c>
      <c r="C86" s="365"/>
      <c r="D86" s="328"/>
      <c r="E86" s="329"/>
      <c r="F86" s="329"/>
      <c r="G86" s="329"/>
      <c r="H86" s="364"/>
      <c r="I86" s="339" t="str">
        <f>IF(OR(VLOOKUP(C86,'!'!$GU$24:$HE$390,'!'!HE$17,FALSE)&gt;'!'!$GL$8,VLOOKUP(C86,'!'!$GU$24:$HE$390,'!'!HE$17,FALSE)&lt;'!'!$GL$7+1),"",$I$12)</f>
        <v/>
      </c>
      <c r="J86" s="357">
        <f>IF(Report!$G$4=C86,1,IF(Report!$H$4=C86,1,0))</f>
        <v>0</v>
      </c>
      <c r="K86" s="358">
        <f>SUM($J$25:J86)</f>
        <v>0</v>
      </c>
      <c r="L86" s="359"/>
    </row>
    <row r="87" spans="1:12" x14ac:dyDescent="0.35">
      <c r="A87" s="340" t="str">
        <f>IF(OR(C87&gt;Report!$H$4,C87&lt;Report!$G$4),"",IF(OR(J87*K87=1,K87-J87=1),'!'!$GJ$14,""))</f>
        <v/>
      </c>
      <c r="B87" s="332">
        <f>IF(A87="",0,COUNTIF($A$25:$A87,'!'!$GJ$14))</f>
        <v>0</v>
      </c>
      <c r="C87" s="365"/>
      <c r="D87" s="328"/>
      <c r="E87" s="329"/>
      <c r="F87" s="329"/>
      <c r="G87" s="329"/>
      <c r="H87" s="364"/>
      <c r="I87" s="339" t="str">
        <f>IF(OR(VLOOKUP(C87,'!'!$GU$24:$HE$390,'!'!HE$17,FALSE)&gt;'!'!$GL$8,VLOOKUP(C87,'!'!$GU$24:$HE$390,'!'!HE$17,FALSE)&lt;'!'!$GL$7+1),"",$I$12)</f>
        <v/>
      </c>
      <c r="J87" s="357">
        <f>IF(Report!$G$4=C87,1,IF(Report!$H$4=C87,1,0))</f>
        <v>0</v>
      </c>
      <c r="K87" s="358">
        <f>SUM($J$25:J87)</f>
        <v>0</v>
      </c>
      <c r="L87" s="359"/>
    </row>
    <row r="88" spans="1:12" x14ac:dyDescent="0.35">
      <c r="A88" s="340" t="str">
        <f>IF(OR(C88&gt;Report!$H$4,C88&lt;Report!$G$4),"",IF(OR(J88*K88=1,K88-J88=1),'!'!$GJ$14,""))</f>
        <v/>
      </c>
      <c r="B88" s="332">
        <f>IF(A88="",0,COUNTIF($A$25:$A88,'!'!$GJ$14))</f>
        <v>0</v>
      </c>
      <c r="C88" s="365"/>
      <c r="D88" s="328"/>
      <c r="E88" s="329"/>
      <c r="F88" s="329"/>
      <c r="G88" s="329"/>
      <c r="H88" s="364"/>
      <c r="I88" s="339" t="str">
        <f>IF(OR(VLOOKUP(C88,'!'!$GU$24:$HE$390,'!'!HE$17,FALSE)&gt;'!'!$GL$8,VLOOKUP(C88,'!'!$GU$24:$HE$390,'!'!HE$17,FALSE)&lt;'!'!$GL$7+1),"",$I$12)</f>
        <v/>
      </c>
      <c r="J88" s="357">
        <f>IF(Report!$G$4=C88,1,IF(Report!$H$4=C88,1,0))</f>
        <v>0</v>
      </c>
      <c r="K88" s="358">
        <f>SUM($J$25:J88)</f>
        <v>0</v>
      </c>
      <c r="L88" s="359"/>
    </row>
    <row r="89" spans="1:12" x14ac:dyDescent="0.35">
      <c r="A89" s="340" t="str">
        <f>IF(OR(C89&gt;Report!$H$4,C89&lt;Report!$G$4),"",IF(OR(J89*K89=1,K89-J89=1),'!'!$GJ$14,""))</f>
        <v/>
      </c>
      <c r="B89" s="332">
        <f>IF(A89="",0,COUNTIF($A$25:$A89,'!'!$GJ$14))</f>
        <v>0</v>
      </c>
      <c r="C89" s="365"/>
      <c r="D89" s="328"/>
      <c r="E89" s="329"/>
      <c r="F89" s="329"/>
      <c r="G89" s="329"/>
      <c r="H89" s="364"/>
      <c r="I89" s="339" t="str">
        <f>IF(OR(VLOOKUP(C89,'!'!$GU$24:$HE$390,'!'!HE$17,FALSE)&gt;'!'!$GL$8,VLOOKUP(C89,'!'!$GU$24:$HE$390,'!'!HE$17,FALSE)&lt;'!'!$GL$7+1),"",$I$12)</f>
        <v/>
      </c>
      <c r="J89" s="357">
        <f>IF(Report!$G$4=C89,1,IF(Report!$H$4=C89,1,0))</f>
        <v>0</v>
      </c>
      <c r="K89" s="358">
        <f>SUM($J$25:J89)</f>
        <v>0</v>
      </c>
      <c r="L89" s="359"/>
    </row>
    <row r="90" spans="1:12" x14ac:dyDescent="0.35">
      <c r="A90" s="340" t="str">
        <f>IF(OR(C90&gt;Report!$H$4,C90&lt;Report!$G$4),"",IF(OR(J90*K90=1,K90-J90=1),'!'!$GJ$14,""))</f>
        <v/>
      </c>
      <c r="B90" s="332">
        <f>IF(A90="",0,COUNTIF($A$25:$A90,'!'!$GJ$14))</f>
        <v>0</v>
      </c>
      <c r="C90" s="365"/>
      <c r="D90" s="328"/>
      <c r="E90" s="329"/>
      <c r="F90" s="329"/>
      <c r="G90" s="329"/>
      <c r="H90" s="364"/>
      <c r="I90" s="339" t="str">
        <f>IF(OR(VLOOKUP(C90,'!'!$GU$24:$HE$390,'!'!HE$17,FALSE)&gt;'!'!$GL$8,VLOOKUP(C90,'!'!$GU$24:$HE$390,'!'!HE$17,FALSE)&lt;'!'!$GL$7+1),"",$I$12)</f>
        <v/>
      </c>
      <c r="J90" s="357">
        <f>IF(Report!$G$4=C90,1,IF(Report!$H$4=C90,1,0))</f>
        <v>0</v>
      </c>
      <c r="K90" s="358">
        <f>SUM($J$25:J90)</f>
        <v>0</v>
      </c>
      <c r="L90" s="359"/>
    </row>
    <row r="91" spans="1:12" x14ac:dyDescent="0.35">
      <c r="A91" s="340" t="str">
        <f>IF(OR(C91&gt;Report!$H$4,C91&lt;Report!$G$4),"",IF(OR(J91*K91=1,K91-J91=1),'!'!$GJ$14,""))</f>
        <v/>
      </c>
      <c r="B91" s="332">
        <f>IF(A91="",0,COUNTIF($A$25:$A91,'!'!$GJ$14))</f>
        <v>0</v>
      </c>
      <c r="C91" s="365"/>
      <c r="D91" s="328"/>
      <c r="E91" s="329"/>
      <c r="F91" s="329"/>
      <c r="G91" s="329"/>
      <c r="H91" s="364"/>
      <c r="I91" s="339" t="str">
        <f>IF(OR(VLOOKUP(C91,'!'!$GU$24:$HE$390,'!'!HE$17,FALSE)&gt;'!'!$GL$8,VLOOKUP(C91,'!'!$GU$24:$HE$390,'!'!HE$17,FALSE)&lt;'!'!$GL$7+1),"",$I$12)</f>
        <v/>
      </c>
      <c r="J91" s="357">
        <f>IF(Report!$G$4=C91,1,IF(Report!$H$4=C91,1,0))</f>
        <v>0</v>
      </c>
      <c r="K91" s="358">
        <f>SUM($J$25:J91)</f>
        <v>0</v>
      </c>
      <c r="L91" s="359"/>
    </row>
    <row r="92" spans="1:12" x14ac:dyDescent="0.35">
      <c r="A92" s="340" t="str">
        <f>IF(OR(C92&gt;Report!$H$4,C92&lt;Report!$G$4),"",IF(OR(J92*K92=1,K92-J92=1),'!'!$GJ$14,""))</f>
        <v/>
      </c>
      <c r="B92" s="332">
        <f>IF(A92="",0,COUNTIF($A$25:$A92,'!'!$GJ$14))</f>
        <v>0</v>
      </c>
      <c r="C92" s="365"/>
      <c r="D92" s="328"/>
      <c r="E92" s="329"/>
      <c r="F92" s="329"/>
      <c r="G92" s="329"/>
      <c r="H92" s="364"/>
      <c r="I92" s="339" t="str">
        <f>IF(OR(VLOOKUP(C92,'!'!$GU$24:$HE$390,'!'!HE$17,FALSE)&gt;'!'!$GL$8,VLOOKUP(C92,'!'!$GU$24:$HE$390,'!'!HE$17,FALSE)&lt;'!'!$GL$7+1),"",$I$12)</f>
        <v/>
      </c>
      <c r="J92" s="357">
        <f>IF(Report!$G$4=C92,1,IF(Report!$H$4=C92,1,0))</f>
        <v>0</v>
      </c>
      <c r="K92" s="358">
        <f>SUM($J$25:J92)</f>
        <v>0</v>
      </c>
      <c r="L92" s="359"/>
    </row>
    <row r="93" spans="1:12" x14ac:dyDescent="0.35">
      <c r="A93" s="340" t="str">
        <f>IF(OR(C93&gt;Report!$H$4,C93&lt;Report!$G$4),"",IF(OR(J93*K93=1,K93-J93=1),'!'!$GJ$14,""))</f>
        <v/>
      </c>
      <c r="B93" s="332">
        <f>IF(A93="",0,COUNTIF($A$25:$A93,'!'!$GJ$14))</f>
        <v>0</v>
      </c>
      <c r="C93" s="365"/>
      <c r="D93" s="328"/>
      <c r="E93" s="329"/>
      <c r="F93" s="329"/>
      <c r="G93" s="329"/>
      <c r="H93" s="364"/>
      <c r="I93" s="339" t="str">
        <f>IF(OR(VLOOKUP(C93,'!'!$GU$24:$HE$390,'!'!HE$17,FALSE)&gt;'!'!$GL$8,VLOOKUP(C93,'!'!$GU$24:$HE$390,'!'!HE$17,FALSE)&lt;'!'!$GL$7+1),"",$I$12)</f>
        <v/>
      </c>
      <c r="J93" s="357">
        <f>IF(Report!$G$4=C93,1,IF(Report!$H$4=C93,1,0))</f>
        <v>0</v>
      </c>
      <c r="K93" s="358">
        <f>SUM($J$25:J93)</f>
        <v>0</v>
      </c>
      <c r="L93" s="359"/>
    </row>
    <row r="94" spans="1:12" x14ac:dyDescent="0.35">
      <c r="A94" s="340" t="str">
        <f>IF(OR(C94&gt;Report!$H$4,C94&lt;Report!$G$4),"",IF(OR(J94*K94=1,K94-J94=1),'!'!$GJ$14,""))</f>
        <v/>
      </c>
      <c r="B94" s="332">
        <f>IF(A94="",0,COUNTIF($A$25:$A94,'!'!$GJ$14))</f>
        <v>0</v>
      </c>
      <c r="C94" s="365"/>
      <c r="D94" s="328"/>
      <c r="E94" s="329"/>
      <c r="F94" s="329"/>
      <c r="G94" s="329"/>
      <c r="H94" s="364"/>
      <c r="I94" s="339" t="str">
        <f>IF(OR(VLOOKUP(C94,'!'!$GU$24:$HE$390,'!'!HE$17,FALSE)&gt;'!'!$GL$8,VLOOKUP(C94,'!'!$GU$24:$HE$390,'!'!HE$17,FALSE)&lt;'!'!$GL$7+1),"",$I$12)</f>
        <v/>
      </c>
      <c r="J94" s="357">
        <f>IF(Report!$G$4=C94,1,IF(Report!$H$4=C94,1,0))</f>
        <v>0</v>
      </c>
      <c r="K94" s="358">
        <f>SUM($J$25:J94)</f>
        <v>0</v>
      </c>
      <c r="L94" s="359"/>
    </row>
    <row r="95" spans="1:12" x14ac:dyDescent="0.35">
      <c r="A95" s="340" t="str">
        <f>IF(OR(C95&gt;Report!$H$4,C95&lt;Report!$G$4),"",IF(OR(J95*K95=1,K95-J95=1),'!'!$GJ$14,""))</f>
        <v/>
      </c>
      <c r="B95" s="332">
        <f>IF(A95="",0,COUNTIF($A$25:$A95,'!'!$GJ$14))</f>
        <v>0</v>
      </c>
      <c r="C95" s="365"/>
      <c r="D95" s="328"/>
      <c r="E95" s="329"/>
      <c r="F95" s="329"/>
      <c r="G95" s="329"/>
      <c r="H95" s="364"/>
      <c r="I95" s="339" t="str">
        <f>IF(OR(VLOOKUP(C95,'!'!$GU$24:$HE$390,'!'!HE$17,FALSE)&gt;'!'!$GL$8,VLOOKUP(C95,'!'!$GU$24:$HE$390,'!'!HE$17,FALSE)&lt;'!'!$GL$7+1),"",$I$12)</f>
        <v/>
      </c>
      <c r="J95" s="357">
        <f>IF(Report!$G$4=C95,1,IF(Report!$H$4=C95,1,0))</f>
        <v>0</v>
      </c>
      <c r="K95" s="358">
        <f>SUM($J$25:J95)</f>
        <v>0</v>
      </c>
      <c r="L95" s="359"/>
    </row>
    <row r="96" spans="1:12" x14ac:dyDescent="0.35">
      <c r="A96" s="340" t="str">
        <f>IF(OR(C96&gt;Report!$H$4,C96&lt;Report!$G$4),"",IF(OR(J96*K96=1,K96-J96=1),'!'!$GJ$14,""))</f>
        <v/>
      </c>
      <c r="B96" s="332">
        <f>IF(A96="",0,COUNTIF($A$25:$A96,'!'!$GJ$14))</f>
        <v>0</v>
      </c>
      <c r="C96" s="365"/>
      <c r="D96" s="328"/>
      <c r="E96" s="329"/>
      <c r="F96" s="329"/>
      <c r="G96" s="329"/>
      <c r="H96" s="364"/>
      <c r="I96" s="339" t="str">
        <f>IF(OR(VLOOKUP(C96,'!'!$GU$24:$HE$390,'!'!HE$17,FALSE)&gt;'!'!$GL$8,VLOOKUP(C96,'!'!$GU$24:$HE$390,'!'!HE$17,FALSE)&lt;'!'!$GL$7+1),"",$I$12)</f>
        <v/>
      </c>
      <c r="J96" s="357">
        <f>IF(Report!$G$4=C96,1,IF(Report!$H$4=C96,1,0))</f>
        <v>0</v>
      </c>
      <c r="K96" s="358">
        <f>SUM($J$25:J96)</f>
        <v>0</v>
      </c>
      <c r="L96" s="359"/>
    </row>
    <row r="97" spans="1:12" x14ac:dyDescent="0.35">
      <c r="A97" s="340" t="str">
        <f>IF(OR(C97&gt;Report!$H$4,C97&lt;Report!$G$4),"",IF(OR(J97*K97=1,K97-J97=1),'!'!$GJ$14,""))</f>
        <v/>
      </c>
      <c r="B97" s="332">
        <f>IF(A97="",0,COUNTIF($A$25:$A97,'!'!$GJ$14))</f>
        <v>0</v>
      </c>
      <c r="C97" s="365"/>
      <c r="D97" s="328"/>
      <c r="E97" s="329"/>
      <c r="F97" s="329"/>
      <c r="G97" s="329"/>
      <c r="H97" s="364"/>
      <c r="I97" s="339" t="str">
        <f>IF(OR(VLOOKUP(C97,'!'!$GU$24:$HE$390,'!'!HE$17,FALSE)&gt;'!'!$GL$8,VLOOKUP(C97,'!'!$GU$24:$HE$390,'!'!HE$17,FALSE)&lt;'!'!$GL$7+1),"",$I$12)</f>
        <v/>
      </c>
      <c r="J97" s="357">
        <f>IF(Report!$G$4=C97,1,IF(Report!$H$4=C97,1,0))</f>
        <v>0</v>
      </c>
      <c r="K97" s="358">
        <f>SUM($J$25:J97)</f>
        <v>0</v>
      </c>
      <c r="L97" s="359"/>
    </row>
    <row r="98" spans="1:12" x14ac:dyDescent="0.35">
      <c r="A98" s="340" t="str">
        <f>IF(OR(C98&gt;Report!$H$4,C98&lt;Report!$G$4),"",IF(OR(J98*K98=1,K98-J98=1),'!'!$GJ$14,""))</f>
        <v/>
      </c>
      <c r="B98" s="332">
        <f>IF(A98="",0,COUNTIF($A$25:$A98,'!'!$GJ$14))</f>
        <v>0</v>
      </c>
      <c r="C98" s="365"/>
      <c r="D98" s="328"/>
      <c r="E98" s="329"/>
      <c r="F98" s="329"/>
      <c r="G98" s="329"/>
      <c r="H98" s="364"/>
      <c r="I98" s="339" t="str">
        <f>IF(OR(VLOOKUP(C98,'!'!$GU$24:$HE$390,'!'!HE$17,FALSE)&gt;'!'!$GL$8,VLOOKUP(C98,'!'!$GU$24:$HE$390,'!'!HE$17,FALSE)&lt;'!'!$GL$7+1),"",$I$12)</f>
        <v/>
      </c>
      <c r="J98" s="357">
        <f>IF(Report!$G$4=C98,1,IF(Report!$H$4=C98,1,0))</f>
        <v>0</v>
      </c>
      <c r="K98" s="358">
        <f>SUM($J$25:J98)</f>
        <v>0</v>
      </c>
      <c r="L98" s="359"/>
    </row>
    <row r="99" spans="1:12" x14ac:dyDescent="0.35">
      <c r="A99" s="340" t="str">
        <f>IF(OR(C99&gt;Report!$H$4,C99&lt;Report!$G$4),"",IF(OR(J99*K99=1,K99-J99=1),'!'!$GJ$14,""))</f>
        <v/>
      </c>
      <c r="B99" s="332">
        <f>IF(A99="",0,COUNTIF($A$25:$A99,'!'!$GJ$14))</f>
        <v>0</v>
      </c>
      <c r="C99" s="365"/>
      <c r="D99" s="328"/>
      <c r="E99" s="329"/>
      <c r="F99" s="329"/>
      <c r="G99" s="329"/>
      <c r="H99" s="364"/>
      <c r="I99" s="339" t="str">
        <f>IF(OR(VLOOKUP(C99,'!'!$GU$24:$HE$390,'!'!HE$17,FALSE)&gt;'!'!$GL$8,VLOOKUP(C99,'!'!$GU$24:$HE$390,'!'!HE$17,FALSE)&lt;'!'!$GL$7+1),"",$I$12)</f>
        <v/>
      </c>
      <c r="J99" s="357">
        <f>IF(Report!$G$4=C99,1,IF(Report!$H$4=C99,1,0))</f>
        <v>0</v>
      </c>
      <c r="K99" s="358">
        <f>SUM($J$25:J99)</f>
        <v>0</v>
      </c>
      <c r="L99" s="359"/>
    </row>
    <row r="100" spans="1:12" x14ac:dyDescent="0.35">
      <c r="A100" s="340" t="str">
        <f>IF(OR(C100&gt;Report!$H$4,C100&lt;Report!$G$4),"",IF(OR(J100*K100=1,K100-J100=1),'!'!$GJ$14,""))</f>
        <v/>
      </c>
      <c r="B100" s="332">
        <f>IF(A100="",0,COUNTIF($A$25:$A100,'!'!$GJ$14))</f>
        <v>0</v>
      </c>
      <c r="C100" s="365"/>
      <c r="D100" s="328"/>
      <c r="E100" s="329"/>
      <c r="F100" s="329"/>
      <c r="G100" s="329"/>
      <c r="H100" s="364"/>
      <c r="I100" s="339" t="str">
        <f>IF(OR(VLOOKUP(C100,'!'!$GU$24:$HE$390,'!'!HE$17,FALSE)&gt;'!'!$GL$8,VLOOKUP(C100,'!'!$GU$24:$HE$390,'!'!HE$17,FALSE)&lt;'!'!$GL$7+1),"",$I$12)</f>
        <v/>
      </c>
      <c r="J100" s="357">
        <f>IF(Report!$G$4=C100,1,IF(Report!$H$4=C100,1,0))</f>
        <v>0</v>
      </c>
      <c r="K100" s="358">
        <f>SUM($J$25:J100)</f>
        <v>0</v>
      </c>
      <c r="L100" s="359"/>
    </row>
    <row r="101" spans="1:12" x14ac:dyDescent="0.35">
      <c r="A101" s="340" t="str">
        <f>IF(OR(C101&gt;Report!$H$4,C101&lt;Report!$G$4),"",IF(OR(J101*K101=1,K101-J101=1),'!'!$GJ$14,""))</f>
        <v/>
      </c>
      <c r="B101" s="332">
        <f>IF(A101="",0,COUNTIF($A$25:$A101,'!'!$GJ$14))</f>
        <v>0</v>
      </c>
      <c r="C101" s="365"/>
      <c r="D101" s="328"/>
      <c r="E101" s="329"/>
      <c r="F101" s="329"/>
      <c r="G101" s="329"/>
      <c r="H101" s="364"/>
      <c r="I101" s="339" t="str">
        <f>IF(OR(VLOOKUP(C101,'!'!$GU$24:$HE$390,'!'!HE$17,FALSE)&gt;'!'!$GL$8,VLOOKUP(C101,'!'!$GU$24:$HE$390,'!'!HE$17,FALSE)&lt;'!'!$GL$7+1),"",$I$12)</f>
        <v/>
      </c>
      <c r="J101" s="357">
        <f>IF(Report!$G$4=C101,1,IF(Report!$H$4=C101,1,0))</f>
        <v>0</v>
      </c>
      <c r="K101" s="358">
        <f>SUM($J$25:J101)</f>
        <v>0</v>
      </c>
      <c r="L101" s="359"/>
    </row>
    <row r="102" spans="1:12" x14ac:dyDescent="0.35">
      <c r="A102" s="340" t="str">
        <f>IF(OR(C102&gt;Report!$H$4,C102&lt;Report!$G$4),"",IF(OR(J102*K102=1,K102-J102=1),'!'!$GJ$14,""))</f>
        <v/>
      </c>
      <c r="B102" s="332">
        <f>IF(A102="",0,COUNTIF($A$25:$A102,'!'!$GJ$14))</f>
        <v>0</v>
      </c>
      <c r="C102" s="365"/>
      <c r="D102" s="328"/>
      <c r="E102" s="329"/>
      <c r="F102" s="329"/>
      <c r="G102" s="329"/>
      <c r="H102" s="364"/>
      <c r="I102" s="339" t="str">
        <f>IF(OR(VLOOKUP(C102,'!'!$GU$24:$HE$390,'!'!HE$17,FALSE)&gt;'!'!$GL$8,VLOOKUP(C102,'!'!$GU$24:$HE$390,'!'!HE$17,FALSE)&lt;'!'!$GL$7+1),"",$I$12)</f>
        <v/>
      </c>
      <c r="J102" s="357">
        <f>IF(Report!$G$4=C102,1,IF(Report!$H$4=C102,1,0))</f>
        <v>0</v>
      </c>
      <c r="K102" s="358">
        <f>SUM($J$25:J102)</f>
        <v>0</v>
      </c>
      <c r="L102" s="359"/>
    </row>
    <row r="103" spans="1:12" x14ac:dyDescent="0.35">
      <c r="A103" s="340" t="str">
        <f>IF(OR(C103&gt;Report!$H$4,C103&lt;Report!$G$4),"",IF(OR(J103*K103=1,K103-J103=1),'!'!$GJ$14,""))</f>
        <v/>
      </c>
      <c r="B103" s="332">
        <f>IF(A103="",0,COUNTIF($A$25:$A103,'!'!$GJ$14))</f>
        <v>0</v>
      </c>
      <c r="C103" s="365"/>
      <c r="D103" s="328"/>
      <c r="E103" s="329"/>
      <c r="F103" s="329"/>
      <c r="G103" s="329"/>
      <c r="H103" s="364"/>
      <c r="I103" s="339" t="str">
        <f>IF(OR(VLOOKUP(C103,'!'!$GU$24:$HE$390,'!'!HE$17,FALSE)&gt;'!'!$GL$8,VLOOKUP(C103,'!'!$GU$24:$HE$390,'!'!HE$17,FALSE)&lt;'!'!$GL$7+1),"",$I$12)</f>
        <v/>
      </c>
      <c r="J103" s="357">
        <f>IF(Report!$G$4=C103,1,IF(Report!$H$4=C103,1,0))</f>
        <v>0</v>
      </c>
      <c r="K103" s="358">
        <f>SUM($J$25:J103)</f>
        <v>0</v>
      </c>
      <c r="L103" s="359"/>
    </row>
    <row r="104" spans="1:12" x14ac:dyDescent="0.35">
      <c r="A104" s="340" t="str">
        <f>IF(OR(C104&gt;Report!$H$4,C104&lt;Report!$G$4),"",IF(OR(J104*K104=1,K104-J104=1),'!'!$GJ$14,""))</f>
        <v/>
      </c>
      <c r="B104" s="332">
        <f>IF(A104="",0,COUNTIF($A$25:$A104,'!'!$GJ$14))</f>
        <v>0</v>
      </c>
      <c r="C104" s="365"/>
      <c r="D104" s="328"/>
      <c r="E104" s="329"/>
      <c r="F104" s="329"/>
      <c r="G104" s="329"/>
      <c r="H104" s="364"/>
      <c r="I104" s="339" t="str">
        <f>IF(OR(VLOOKUP(C104,'!'!$GU$24:$HE$390,'!'!HE$17,FALSE)&gt;'!'!$GL$8,VLOOKUP(C104,'!'!$GU$24:$HE$390,'!'!HE$17,FALSE)&lt;'!'!$GL$7+1),"",$I$12)</f>
        <v/>
      </c>
      <c r="J104" s="357">
        <f>IF(Report!$G$4=C104,1,IF(Report!$H$4=C104,1,0))</f>
        <v>0</v>
      </c>
      <c r="K104" s="358">
        <f>SUM($J$25:J104)</f>
        <v>0</v>
      </c>
      <c r="L104" s="359"/>
    </row>
    <row r="105" spans="1:12" x14ac:dyDescent="0.35">
      <c r="A105" s="340" t="str">
        <f>IF(OR(C105&gt;Report!$H$4,C105&lt;Report!$G$4),"",IF(OR(J105*K105=1,K105-J105=1),'!'!$GJ$14,""))</f>
        <v/>
      </c>
      <c r="B105" s="332">
        <f>IF(A105="",0,COUNTIF($A$25:$A105,'!'!$GJ$14))</f>
        <v>0</v>
      </c>
      <c r="C105" s="365"/>
      <c r="D105" s="328"/>
      <c r="E105" s="329"/>
      <c r="F105" s="329"/>
      <c r="G105" s="329"/>
      <c r="H105" s="364"/>
      <c r="I105" s="339" t="str">
        <f>IF(OR(VLOOKUP(C105,'!'!$GU$24:$HE$390,'!'!HE$17,FALSE)&gt;'!'!$GL$8,VLOOKUP(C105,'!'!$GU$24:$HE$390,'!'!HE$17,FALSE)&lt;'!'!$GL$7+1),"",$I$12)</f>
        <v/>
      </c>
      <c r="J105" s="357">
        <f>IF(Report!$G$4=C105,1,IF(Report!$H$4=C105,1,0))</f>
        <v>0</v>
      </c>
      <c r="K105" s="358">
        <f>SUM($J$25:J105)</f>
        <v>0</v>
      </c>
      <c r="L105" s="359"/>
    </row>
    <row r="106" spans="1:12" x14ac:dyDescent="0.35">
      <c r="A106" s="340" t="str">
        <f>IF(OR(C106&gt;Report!$H$4,C106&lt;Report!$G$4),"",IF(OR(J106*K106=1,K106-J106=1),'!'!$GJ$14,""))</f>
        <v/>
      </c>
      <c r="B106" s="332">
        <f>IF(A106="",0,COUNTIF($A$25:$A106,'!'!$GJ$14))</f>
        <v>0</v>
      </c>
      <c r="C106" s="365"/>
      <c r="D106" s="328"/>
      <c r="E106" s="329"/>
      <c r="F106" s="329"/>
      <c r="G106" s="329"/>
      <c r="H106" s="364"/>
      <c r="I106" s="339" t="str">
        <f>IF(OR(VLOOKUP(C106,'!'!$GU$24:$HE$390,'!'!HE$17,FALSE)&gt;'!'!$GL$8,VLOOKUP(C106,'!'!$GU$24:$HE$390,'!'!HE$17,FALSE)&lt;'!'!$GL$7+1),"",$I$12)</f>
        <v/>
      </c>
      <c r="J106" s="357">
        <f>IF(Report!$G$4=C106,1,IF(Report!$H$4=C106,1,0))</f>
        <v>0</v>
      </c>
      <c r="K106" s="358">
        <f>SUM($J$25:J106)</f>
        <v>0</v>
      </c>
      <c r="L106" s="359"/>
    </row>
    <row r="107" spans="1:12" x14ac:dyDescent="0.35">
      <c r="A107" s="340" t="str">
        <f>IF(OR(C107&gt;Report!$H$4,C107&lt;Report!$G$4),"",IF(OR(J107*K107=1,K107-J107=1),'!'!$GJ$14,""))</f>
        <v/>
      </c>
      <c r="B107" s="332">
        <f>IF(A107="",0,COUNTIF($A$25:$A107,'!'!$GJ$14))</f>
        <v>0</v>
      </c>
      <c r="C107" s="365"/>
      <c r="D107" s="328"/>
      <c r="E107" s="329"/>
      <c r="F107" s="329"/>
      <c r="G107" s="329"/>
      <c r="H107" s="364"/>
      <c r="I107" s="339" t="str">
        <f>IF(OR(VLOOKUP(C107,'!'!$GU$24:$HE$390,'!'!HE$17,FALSE)&gt;'!'!$GL$8,VLOOKUP(C107,'!'!$GU$24:$HE$390,'!'!HE$17,FALSE)&lt;'!'!$GL$7+1),"",$I$12)</f>
        <v/>
      </c>
      <c r="J107" s="357">
        <f>IF(Report!$G$4=C107,1,IF(Report!$H$4=C107,1,0))</f>
        <v>0</v>
      </c>
      <c r="K107" s="358">
        <f>SUM($J$25:J107)</f>
        <v>0</v>
      </c>
      <c r="L107" s="359"/>
    </row>
    <row r="108" spans="1:12" x14ac:dyDescent="0.35">
      <c r="A108" s="340" t="str">
        <f>IF(OR(C108&gt;Report!$H$4,C108&lt;Report!$G$4),"",IF(OR(J108*K108=1,K108-J108=1),'!'!$GJ$14,""))</f>
        <v/>
      </c>
      <c r="B108" s="332">
        <f>IF(A108="",0,COUNTIF($A$25:$A108,'!'!$GJ$14))</f>
        <v>0</v>
      </c>
      <c r="C108" s="365"/>
      <c r="D108" s="328"/>
      <c r="E108" s="329"/>
      <c r="F108" s="329"/>
      <c r="G108" s="329"/>
      <c r="H108" s="364"/>
      <c r="I108" s="339" t="str">
        <f>IF(OR(VLOOKUP(C108,'!'!$GU$24:$HE$390,'!'!HE$17,FALSE)&gt;'!'!$GL$8,VLOOKUP(C108,'!'!$GU$24:$HE$390,'!'!HE$17,FALSE)&lt;'!'!$GL$7+1),"",$I$12)</f>
        <v/>
      </c>
      <c r="J108" s="357">
        <f>IF(Report!$G$4=C108,1,IF(Report!$H$4=C108,1,0))</f>
        <v>0</v>
      </c>
      <c r="K108" s="358">
        <f>SUM($J$25:J108)</f>
        <v>0</v>
      </c>
      <c r="L108" s="359"/>
    </row>
    <row r="109" spans="1:12" x14ac:dyDescent="0.35">
      <c r="A109" s="340" t="str">
        <f>IF(OR(C109&gt;Report!$H$4,C109&lt;Report!$G$4),"",IF(OR(J109*K109=1,K109-J109=1),'!'!$GJ$14,""))</f>
        <v/>
      </c>
      <c r="B109" s="332">
        <f>IF(A109="",0,COUNTIF($A$25:$A109,'!'!$GJ$14))</f>
        <v>0</v>
      </c>
      <c r="C109" s="365"/>
      <c r="D109" s="328"/>
      <c r="E109" s="329"/>
      <c r="F109" s="329"/>
      <c r="G109" s="329"/>
      <c r="H109" s="364"/>
      <c r="I109" s="339" t="str">
        <f>IF(OR(VLOOKUP(C109,'!'!$GU$24:$HE$390,'!'!HE$17,FALSE)&gt;'!'!$GL$8,VLOOKUP(C109,'!'!$GU$24:$HE$390,'!'!HE$17,FALSE)&lt;'!'!$GL$7+1),"",$I$12)</f>
        <v/>
      </c>
      <c r="J109" s="357">
        <f>IF(Report!$G$4=C109,1,IF(Report!$H$4=C109,1,0))</f>
        <v>0</v>
      </c>
      <c r="K109" s="358">
        <f>SUM($J$25:J109)</f>
        <v>0</v>
      </c>
      <c r="L109" s="359"/>
    </row>
    <row r="110" spans="1:12" x14ac:dyDescent="0.35">
      <c r="A110" s="340" t="str">
        <f>IF(OR(C110&gt;Report!$H$4,C110&lt;Report!$G$4),"",IF(OR(J110*K110=1,K110-J110=1),'!'!$GJ$14,""))</f>
        <v/>
      </c>
      <c r="B110" s="332">
        <f>IF(A110="",0,COUNTIF($A$25:$A110,'!'!$GJ$14))</f>
        <v>0</v>
      </c>
      <c r="C110" s="365"/>
      <c r="D110" s="328"/>
      <c r="E110" s="329"/>
      <c r="F110" s="329"/>
      <c r="G110" s="329"/>
      <c r="H110" s="364"/>
      <c r="I110" s="339" t="str">
        <f>IF(OR(VLOOKUP(C110,'!'!$GU$24:$HE$390,'!'!HE$17,FALSE)&gt;'!'!$GL$8,VLOOKUP(C110,'!'!$GU$24:$HE$390,'!'!HE$17,FALSE)&lt;'!'!$GL$7+1),"",$I$12)</f>
        <v/>
      </c>
      <c r="J110" s="357">
        <f>IF(Report!$G$4=C110,1,IF(Report!$H$4=C110,1,0))</f>
        <v>0</v>
      </c>
      <c r="K110" s="358">
        <f>SUM($J$25:J110)</f>
        <v>0</v>
      </c>
      <c r="L110" s="359"/>
    </row>
    <row r="111" spans="1:12" x14ac:dyDescent="0.35">
      <c r="A111" s="340" t="str">
        <f>IF(OR(C111&gt;Report!$H$4,C111&lt;Report!$G$4),"",IF(OR(J111*K111=1,K111-J111=1),'!'!$GJ$14,""))</f>
        <v/>
      </c>
      <c r="B111" s="332">
        <f>IF(A111="",0,COUNTIF($A$25:$A111,'!'!$GJ$14))</f>
        <v>0</v>
      </c>
      <c r="C111" s="365"/>
      <c r="D111" s="328"/>
      <c r="E111" s="329"/>
      <c r="F111" s="329"/>
      <c r="G111" s="329"/>
      <c r="H111" s="364"/>
      <c r="I111" s="339" t="str">
        <f>IF(OR(VLOOKUP(C111,'!'!$GU$24:$HE$390,'!'!HE$17,FALSE)&gt;'!'!$GL$8,VLOOKUP(C111,'!'!$GU$24:$HE$390,'!'!HE$17,FALSE)&lt;'!'!$GL$7+1),"",$I$12)</f>
        <v/>
      </c>
      <c r="J111" s="357">
        <f>IF(Report!$G$4=C111,1,IF(Report!$H$4=C111,1,0))</f>
        <v>0</v>
      </c>
      <c r="K111" s="358">
        <f>SUM($J$25:J111)</f>
        <v>0</v>
      </c>
      <c r="L111" s="359"/>
    </row>
    <row r="112" spans="1:12" x14ac:dyDescent="0.35">
      <c r="A112" s="340" t="str">
        <f>IF(OR(C112&gt;Report!$H$4,C112&lt;Report!$G$4),"",IF(OR(J112*K112=1,K112-J112=1),'!'!$GJ$14,""))</f>
        <v/>
      </c>
      <c r="B112" s="332">
        <f>IF(A112="",0,COUNTIF($A$25:$A112,'!'!$GJ$14))</f>
        <v>0</v>
      </c>
      <c r="C112" s="365"/>
      <c r="D112" s="328"/>
      <c r="E112" s="329"/>
      <c r="F112" s="329"/>
      <c r="G112" s="329"/>
      <c r="H112" s="364"/>
      <c r="I112" s="339" t="str">
        <f>IF(OR(VLOOKUP(C112,'!'!$GU$24:$HE$390,'!'!HE$17,FALSE)&gt;'!'!$GL$8,VLOOKUP(C112,'!'!$GU$24:$HE$390,'!'!HE$17,FALSE)&lt;'!'!$GL$7+1),"",$I$12)</f>
        <v/>
      </c>
      <c r="J112" s="357">
        <f>IF(Report!$G$4=C112,1,IF(Report!$H$4=C112,1,0))</f>
        <v>0</v>
      </c>
      <c r="K112" s="358">
        <f>SUM($J$25:J112)</f>
        <v>0</v>
      </c>
      <c r="L112" s="359"/>
    </row>
    <row r="113" spans="1:12" x14ac:dyDescent="0.35">
      <c r="A113" s="340" t="str">
        <f>IF(OR(C113&gt;Report!$H$4,C113&lt;Report!$G$4),"",IF(OR(J113*K113=1,K113-J113=1),'!'!$GJ$14,""))</f>
        <v/>
      </c>
      <c r="B113" s="332">
        <f>IF(A113="",0,COUNTIF($A$25:$A113,'!'!$GJ$14))</f>
        <v>0</v>
      </c>
      <c r="C113" s="365"/>
      <c r="D113" s="328"/>
      <c r="E113" s="329"/>
      <c r="F113" s="329"/>
      <c r="G113" s="329"/>
      <c r="H113" s="364"/>
      <c r="I113" s="339" t="str">
        <f>IF(OR(VLOOKUP(C113,'!'!$GU$24:$HE$390,'!'!HE$17,FALSE)&gt;'!'!$GL$8,VLOOKUP(C113,'!'!$GU$24:$HE$390,'!'!HE$17,FALSE)&lt;'!'!$GL$7+1),"",$I$12)</f>
        <v/>
      </c>
      <c r="J113" s="357">
        <f>IF(Report!$G$4=C113,1,IF(Report!$H$4=C113,1,0))</f>
        <v>0</v>
      </c>
      <c r="K113" s="358">
        <f>SUM($J$25:J113)</f>
        <v>0</v>
      </c>
      <c r="L113" s="359"/>
    </row>
    <row r="114" spans="1:12" x14ac:dyDescent="0.35">
      <c r="A114" s="340" t="str">
        <f>IF(OR(C114&gt;Report!$H$4,C114&lt;Report!$G$4),"",IF(OR(J114*K114=1,K114-J114=1),'!'!$GJ$14,""))</f>
        <v/>
      </c>
      <c r="B114" s="332">
        <f>IF(A114="",0,COUNTIF($A$25:$A114,'!'!$GJ$14))</f>
        <v>0</v>
      </c>
      <c r="C114" s="365"/>
      <c r="D114" s="328"/>
      <c r="E114" s="329"/>
      <c r="F114" s="329"/>
      <c r="G114" s="329"/>
      <c r="H114" s="364"/>
      <c r="I114" s="339" t="str">
        <f>IF(OR(VLOOKUP(C114,'!'!$GU$24:$HE$390,'!'!HE$17,FALSE)&gt;'!'!$GL$8,VLOOKUP(C114,'!'!$GU$24:$HE$390,'!'!HE$17,FALSE)&lt;'!'!$GL$7+1),"",$I$12)</f>
        <v/>
      </c>
      <c r="J114" s="357">
        <f>IF(Report!$G$4=C114,1,IF(Report!$H$4=C114,1,0))</f>
        <v>0</v>
      </c>
      <c r="K114" s="358">
        <f>SUM($J$25:J114)</f>
        <v>0</v>
      </c>
      <c r="L114" s="359"/>
    </row>
    <row r="115" spans="1:12" x14ac:dyDescent="0.35">
      <c r="A115" s="340" t="str">
        <f>IF(OR(C115&gt;Report!$H$4,C115&lt;Report!$G$4),"",IF(OR(J115*K115=1,K115-J115=1),'!'!$GJ$14,""))</f>
        <v/>
      </c>
      <c r="B115" s="332">
        <f>IF(A115="",0,COUNTIF($A$25:$A115,'!'!$GJ$14))</f>
        <v>0</v>
      </c>
      <c r="C115" s="365"/>
      <c r="D115" s="328"/>
      <c r="E115" s="329"/>
      <c r="F115" s="329"/>
      <c r="G115" s="329"/>
      <c r="H115" s="364"/>
      <c r="I115" s="339" t="str">
        <f>IF(OR(VLOOKUP(C115,'!'!$GU$24:$HE$390,'!'!HE$17,FALSE)&gt;'!'!$GL$8,VLOOKUP(C115,'!'!$GU$24:$HE$390,'!'!HE$17,FALSE)&lt;'!'!$GL$7+1),"",$I$12)</f>
        <v/>
      </c>
      <c r="J115" s="357">
        <f>IF(Report!$G$4=C115,1,IF(Report!$H$4=C115,1,0))</f>
        <v>0</v>
      </c>
      <c r="K115" s="358">
        <f>SUM($J$25:J115)</f>
        <v>0</v>
      </c>
      <c r="L115" s="359"/>
    </row>
    <row r="116" spans="1:12" x14ac:dyDescent="0.35">
      <c r="A116" s="340" t="str">
        <f>IF(OR(C116&gt;Report!$H$4,C116&lt;Report!$G$4),"",IF(OR(J116*K116=1,K116-J116=1),'!'!$GJ$14,""))</f>
        <v/>
      </c>
      <c r="B116" s="332">
        <f>IF(A116="",0,COUNTIF($A$25:$A116,'!'!$GJ$14))</f>
        <v>0</v>
      </c>
      <c r="C116" s="365"/>
      <c r="D116" s="328"/>
      <c r="E116" s="329"/>
      <c r="F116" s="329"/>
      <c r="G116" s="329"/>
      <c r="H116" s="364"/>
      <c r="I116" s="339" t="str">
        <f>IF(OR(VLOOKUP(C116,'!'!$GU$24:$HE$390,'!'!HE$17,FALSE)&gt;'!'!$GL$8,VLOOKUP(C116,'!'!$GU$24:$HE$390,'!'!HE$17,FALSE)&lt;'!'!$GL$7+1),"",$I$12)</f>
        <v/>
      </c>
      <c r="J116" s="357">
        <f>IF(Report!$G$4=C116,1,IF(Report!$H$4=C116,1,0))</f>
        <v>0</v>
      </c>
      <c r="K116" s="358">
        <f>SUM($J$25:J116)</f>
        <v>0</v>
      </c>
      <c r="L116" s="359"/>
    </row>
    <row r="117" spans="1:12" x14ac:dyDescent="0.35">
      <c r="A117" s="340" t="str">
        <f>IF(OR(C117&gt;Report!$H$4,C117&lt;Report!$G$4),"",IF(OR(J117*K117=1,K117-J117=1),'!'!$GJ$14,""))</f>
        <v/>
      </c>
      <c r="B117" s="332">
        <f>IF(A117="",0,COUNTIF($A$25:$A117,'!'!$GJ$14))</f>
        <v>0</v>
      </c>
      <c r="C117" s="365"/>
      <c r="D117" s="328"/>
      <c r="E117" s="329"/>
      <c r="F117" s="329"/>
      <c r="G117" s="329"/>
      <c r="H117" s="364"/>
      <c r="I117" s="339" t="str">
        <f>IF(OR(VLOOKUP(C117,'!'!$GU$24:$HE$390,'!'!HE$17,FALSE)&gt;'!'!$GL$8,VLOOKUP(C117,'!'!$GU$24:$HE$390,'!'!HE$17,FALSE)&lt;'!'!$GL$7+1),"",$I$12)</f>
        <v/>
      </c>
      <c r="J117" s="357">
        <f>IF(Report!$G$4=C117,1,IF(Report!$H$4=C117,1,0))</f>
        <v>0</v>
      </c>
      <c r="K117" s="358">
        <f>SUM($J$25:J117)</f>
        <v>0</v>
      </c>
      <c r="L117" s="359"/>
    </row>
    <row r="118" spans="1:12" x14ac:dyDescent="0.35">
      <c r="A118" s="340" t="str">
        <f>IF(OR(C118&gt;Report!$H$4,C118&lt;Report!$G$4),"",IF(OR(J118*K118=1,K118-J118=1),'!'!$GJ$14,""))</f>
        <v/>
      </c>
      <c r="B118" s="332">
        <f>IF(A118="",0,COUNTIF($A$25:$A118,'!'!$GJ$14))</f>
        <v>0</v>
      </c>
      <c r="C118" s="365"/>
      <c r="D118" s="328"/>
      <c r="E118" s="329"/>
      <c r="F118" s="329"/>
      <c r="G118" s="329"/>
      <c r="H118" s="364"/>
      <c r="I118" s="339" t="str">
        <f>IF(OR(VLOOKUP(C118,'!'!$GU$24:$HE$390,'!'!HE$17,FALSE)&gt;'!'!$GL$8,VLOOKUP(C118,'!'!$GU$24:$HE$390,'!'!HE$17,FALSE)&lt;'!'!$GL$7+1),"",$I$12)</f>
        <v/>
      </c>
      <c r="J118" s="357">
        <f>IF(Report!$G$4=C118,1,IF(Report!$H$4=C118,1,0))</f>
        <v>0</v>
      </c>
      <c r="K118" s="358">
        <f>SUM($J$25:J118)</f>
        <v>0</v>
      </c>
      <c r="L118" s="359"/>
    </row>
    <row r="119" spans="1:12" x14ac:dyDescent="0.35">
      <c r="A119" s="340" t="str">
        <f>IF(OR(C119&gt;Report!$H$4,C119&lt;Report!$G$4),"",IF(OR(J119*K119=1,K119-J119=1),'!'!$GJ$14,""))</f>
        <v/>
      </c>
      <c r="B119" s="332">
        <f>IF(A119="",0,COUNTIF($A$25:$A119,'!'!$GJ$14))</f>
        <v>0</v>
      </c>
      <c r="C119" s="365"/>
      <c r="D119" s="328"/>
      <c r="E119" s="329"/>
      <c r="F119" s="329"/>
      <c r="G119" s="329"/>
      <c r="H119" s="364"/>
      <c r="I119" s="339" t="str">
        <f>IF(OR(VLOOKUP(C119,'!'!$GU$24:$HE$390,'!'!HE$17,FALSE)&gt;'!'!$GL$8,VLOOKUP(C119,'!'!$GU$24:$HE$390,'!'!HE$17,FALSE)&lt;'!'!$GL$7+1),"",$I$12)</f>
        <v/>
      </c>
      <c r="J119" s="357">
        <f>IF(Report!$G$4=C119,1,IF(Report!$H$4=C119,1,0))</f>
        <v>0</v>
      </c>
      <c r="K119" s="358">
        <f>SUM($J$25:J119)</f>
        <v>0</v>
      </c>
      <c r="L119" s="359"/>
    </row>
    <row r="120" spans="1:12" x14ac:dyDescent="0.35">
      <c r="A120" s="340" t="str">
        <f>IF(OR(C120&gt;Report!$H$4,C120&lt;Report!$G$4),"",IF(OR(J120*K120=1,K120-J120=1),'!'!$GJ$14,""))</f>
        <v/>
      </c>
      <c r="B120" s="332">
        <f>IF(A120="",0,COUNTIF($A$25:$A120,'!'!$GJ$14))</f>
        <v>0</v>
      </c>
      <c r="C120" s="365"/>
      <c r="D120" s="328"/>
      <c r="E120" s="329"/>
      <c r="F120" s="329"/>
      <c r="G120" s="329"/>
      <c r="H120" s="364"/>
      <c r="I120" s="339" t="str">
        <f>IF(OR(VLOOKUP(C120,'!'!$GU$24:$HE$390,'!'!HE$17,FALSE)&gt;'!'!$GL$8,VLOOKUP(C120,'!'!$GU$24:$HE$390,'!'!HE$17,FALSE)&lt;'!'!$GL$7+1),"",$I$12)</f>
        <v/>
      </c>
      <c r="J120" s="357">
        <f>IF(Report!$G$4=C120,1,IF(Report!$H$4=C120,1,0))</f>
        <v>0</v>
      </c>
      <c r="K120" s="358">
        <f>SUM($J$25:J120)</f>
        <v>0</v>
      </c>
      <c r="L120" s="359"/>
    </row>
    <row r="121" spans="1:12" x14ac:dyDescent="0.35">
      <c r="A121" s="340" t="str">
        <f>IF(OR(C121&gt;Report!$H$4,C121&lt;Report!$G$4),"",IF(OR(J121*K121=1,K121-J121=1),'!'!$GJ$14,""))</f>
        <v/>
      </c>
      <c r="B121" s="332">
        <f>IF(A121="",0,COUNTIF($A$25:$A121,'!'!$GJ$14))</f>
        <v>0</v>
      </c>
      <c r="C121" s="365"/>
      <c r="D121" s="328"/>
      <c r="E121" s="329"/>
      <c r="F121" s="329"/>
      <c r="G121" s="329"/>
      <c r="H121" s="364"/>
      <c r="I121" s="339" t="str">
        <f>IF(OR(VLOOKUP(C121,'!'!$GU$24:$HE$390,'!'!HE$17,FALSE)&gt;'!'!$GL$8,VLOOKUP(C121,'!'!$GU$24:$HE$390,'!'!HE$17,FALSE)&lt;'!'!$GL$7+1),"",$I$12)</f>
        <v/>
      </c>
      <c r="J121" s="357">
        <f>IF(Report!$G$4=C121,1,IF(Report!$H$4=C121,1,0))</f>
        <v>0</v>
      </c>
      <c r="K121" s="358">
        <f>SUM($J$25:J121)</f>
        <v>0</v>
      </c>
      <c r="L121" s="359"/>
    </row>
    <row r="122" spans="1:12" x14ac:dyDescent="0.35">
      <c r="A122" s="340" t="str">
        <f>IF(OR(C122&gt;Report!$H$4,C122&lt;Report!$G$4),"",IF(OR(J122*K122=1,K122-J122=1),'!'!$GJ$14,""))</f>
        <v/>
      </c>
      <c r="B122" s="332">
        <f>IF(A122="",0,COUNTIF($A$25:$A122,'!'!$GJ$14))</f>
        <v>0</v>
      </c>
      <c r="C122" s="365"/>
      <c r="D122" s="328"/>
      <c r="E122" s="329"/>
      <c r="F122" s="329"/>
      <c r="G122" s="329"/>
      <c r="H122" s="364"/>
      <c r="I122" s="339" t="str">
        <f>IF(OR(VLOOKUP(C122,'!'!$GU$24:$HE$390,'!'!HE$17,FALSE)&gt;'!'!$GL$8,VLOOKUP(C122,'!'!$GU$24:$HE$390,'!'!HE$17,FALSE)&lt;'!'!$GL$7+1),"",$I$12)</f>
        <v/>
      </c>
      <c r="J122" s="357">
        <f>IF(Report!$G$4=C122,1,IF(Report!$H$4=C122,1,0))</f>
        <v>0</v>
      </c>
      <c r="K122" s="358">
        <f>SUM($J$25:J122)</f>
        <v>0</v>
      </c>
      <c r="L122" s="359"/>
    </row>
    <row r="123" spans="1:12" x14ac:dyDescent="0.35">
      <c r="A123" s="340" t="str">
        <f>IF(OR(C123&gt;Report!$H$4,C123&lt;Report!$G$4),"",IF(OR(J123*K123=1,K123-J123=1),'!'!$GJ$14,""))</f>
        <v/>
      </c>
      <c r="B123" s="332">
        <f>IF(A123="",0,COUNTIF($A$25:$A123,'!'!$GJ$14))</f>
        <v>0</v>
      </c>
      <c r="C123" s="365"/>
      <c r="D123" s="328"/>
      <c r="E123" s="329"/>
      <c r="F123" s="329"/>
      <c r="G123" s="329"/>
      <c r="H123" s="364"/>
      <c r="I123" s="339" t="str">
        <f>IF(OR(VLOOKUP(C123,'!'!$GU$24:$HE$390,'!'!HE$17,FALSE)&gt;'!'!$GL$8,VLOOKUP(C123,'!'!$GU$24:$HE$390,'!'!HE$17,FALSE)&lt;'!'!$GL$7+1),"",$I$12)</f>
        <v/>
      </c>
      <c r="J123" s="357">
        <f>IF(Report!$G$4=C123,1,IF(Report!$H$4=C123,1,0))</f>
        <v>0</v>
      </c>
      <c r="K123" s="358">
        <f>SUM($J$25:J123)</f>
        <v>0</v>
      </c>
      <c r="L123" s="359"/>
    </row>
    <row r="124" spans="1:12" x14ac:dyDescent="0.35">
      <c r="A124" s="340" t="str">
        <f>IF(OR(C124&gt;Report!$H$4,C124&lt;Report!$G$4),"",IF(OR(J124*K124=1,K124-J124=1),'!'!$GJ$14,""))</f>
        <v/>
      </c>
      <c r="B124" s="332">
        <f>IF(A124="",0,COUNTIF($A$25:$A124,'!'!$GJ$14))</f>
        <v>0</v>
      </c>
      <c r="C124" s="365"/>
      <c r="D124" s="328"/>
      <c r="E124" s="329"/>
      <c r="F124" s="329"/>
      <c r="G124" s="329"/>
      <c r="H124" s="364"/>
      <c r="I124" s="339" t="str">
        <f>IF(OR(VLOOKUP(C124,'!'!$GU$24:$HE$390,'!'!HE$17,FALSE)&gt;'!'!$GL$8,VLOOKUP(C124,'!'!$GU$24:$HE$390,'!'!HE$17,FALSE)&lt;'!'!$GL$7+1),"",$I$12)</f>
        <v/>
      </c>
      <c r="J124" s="357">
        <f>IF(Report!$G$4=C124,1,IF(Report!$H$4=C124,1,0))</f>
        <v>0</v>
      </c>
      <c r="K124" s="358">
        <f>SUM($J$25:J124)</f>
        <v>0</v>
      </c>
      <c r="L124" s="359"/>
    </row>
    <row r="125" spans="1:12" x14ac:dyDescent="0.35">
      <c r="A125" s="340" t="str">
        <f>IF(OR(C125&gt;Report!$H$4,C125&lt;Report!$G$4),"",IF(OR(J125*K125=1,K125-J125=1),'!'!$GJ$14,""))</f>
        <v/>
      </c>
      <c r="B125" s="332">
        <f>IF(A125="",0,COUNTIF($A$25:$A125,'!'!$GJ$14))</f>
        <v>0</v>
      </c>
      <c r="C125" s="365"/>
      <c r="D125" s="328"/>
      <c r="E125" s="329"/>
      <c r="F125" s="329"/>
      <c r="G125" s="329"/>
      <c r="H125" s="364"/>
      <c r="I125" s="339" t="str">
        <f>IF(OR(VLOOKUP(C125,'!'!$GU$24:$HE$390,'!'!HE$17,FALSE)&gt;'!'!$GL$8,VLOOKUP(C125,'!'!$GU$24:$HE$390,'!'!HE$17,FALSE)&lt;'!'!$GL$7+1),"",$I$12)</f>
        <v/>
      </c>
      <c r="J125" s="357">
        <f>IF(Report!$G$4=C125,1,IF(Report!$H$4=C125,1,0))</f>
        <v>0</v>
      </c>
      <c r="K125" s="358">
        <f>SUM($J$25:J125)</f>
        <v>0</v>
      </c>
      <c r="L125" s="359"/>
    </row>
    <row r="126" spans="1:12" x14ac:dyDescent="0.35">
      <c r="A126" s="340" t="str">
        <f>IF(OR(C126&gt;Report!$H$4,C126&lt;Report!$G$4),"",IF(OR(J126*K126=1,K126-J126=1),'!'!$GJ$14,""))</f>
        <v/>
      </c>
      <c r="B126" s="332">
        <f>IF(A126="",0,COUNTIF($A$25:$A126,'!'!$GJ$14))</f>
        <v>0</v>
      </c>
      <c r="C126" s="365"/>
      <c r="D126" s="328"/>
      <c r="E126" s="329"/>
      <c r="F126" s="329"/>
      <c r="G126" s="329"/>
      <c r="H126" s="364"/>
      <c r="I126" s="339" t="str">
        <f>IF(OR(VLOOKUP(C126,'!'!$GU$24:$HE$390,'!'!HE$17,FALSE)&gt;'!'!$GL$8,VLOOKUP(C126,'!'!$GU$24:$HE$390,'!'!HE$17,FALSE)&lt;'!'!$GL$7+1),"",$I$12)</f>
        <v/>
      </c>
      <c r="J126" s="357">
        <f>IF(Report!$G$4=C126,1,IF(Report!$H$4=C126,1,0))</f>
        <v>0</v>
      </c>
      <c r="K126" s="358">
        <f>SUM($J$25:J126)</f>
        <v>0</v>
      </c>
      <c r="L126" s="359"/>
    </row>
    <row r="127" spans="1:12" x14ac:dyDescent="0.35">
      <c r="A127" s="340" t="str">
        <f>IF(OR(C127&gt;Report!$H$4,C127&lt;Report!$G$4),"",IF(OR(J127*K127=1,K127-J127=1),'!'!$GJ$14,""))</f>
        <v/>
      </c>
      <c r="B127" s="332">
        <f>IF(A127="",0,COUNTIF($A$25:$A127,'!'!$GJ$14))</f>
        <v>0</v>
      </c>
      <c r="C127" s="365"/>
      <c r="D127" s="328"/>
      <c r="E127" s="329"/>
      <c r="F127" s="329"/>
      <c r="G127" s="329"/>
      <c r="H127" s="364"/>
      <c r="I127" s="339" t="str">
        <f>IF(OR(VLOOKUP(C127,'!'!$GU$24:$HE$390,'!'!HE$17,FALSE)&gt;'!'!$GL$8,VLOOKUP(C127,'!'!$GU$24:$HE$390,'!'!HE$17,FALSE)&lt;'!'!$GL$7+1),"",$I$12)</f>
        <v/>
      </c>
      <c r="J127" s="357">
        <f>IF(Report!$G$4=C127,1,IF(Report!$H$4=C127,1,0))</f>
        <v>0</v>
      </c>
      <c r="K127" s="358">
        <f>SUM($J$25:J127)</f>
        <v>0</v>
      </c>
      <c r="L127" s="359"/>
    </row>
    <row r="128" spans="1:12" x14ac:dyDescent="0.35">
      <c r="A128" s="340" t="str">
        <f>IF(OR(C128&gt;Report!$H$4,C128&lt;Report!$G$4),"",IF(OR(J128*K128=1,K128-J128=1),'!'!$GJ$14,""))</f>
        <v/>
      </c>
      <c r="B128" s="332">
        <f>IF(A128="",0,COUNTIF($A$25:$A128,'!'!$GJ$14))</f>
        <v>0</v>
      </c>
      <c r="C128" s="365"/>
      <c r="D128" s="328"/>
      <c r="E128" s="329"/>
      <c r="F128" s="329"/>
      <c r="G128" s="329"/>
      <c r="H128" s="364"/>
      <c r="I128" s="339" t="str">
        <f>IF(OR(VLOOKUP(C128,'!'!$GU$24:$HE$390,'!'!HE$17,FALSE)&gt;'!'!$GL$8,VLOOKUP(C128,'!'!$GU$24:$HE$390,'!'!HE$17,FALSE)&lt;'!'!$GL$7+1),"",$I$12)</f>
        <v/>
      </c>
      <c r="J128" s="357">
        <f>IF(Report!$G$4=C128,1,IF(Report!$H$4=C128,1,0))</f>
        <v>0</v>
      </c>
      <c r="K128" s="358">
        <f>SUM($J$25:J128)</f>
        <v>0</v>
      </c>
      <c r="L128" s="359"/>
    </row>
    <row r="129" spans="1:12" x14ac:dyDescent="0.35">
      <c r="A129" s="340" t="str">
        <f>IF(OR(C129&gt;Report!$H$4,C129&lt;Report!$G$4),"",IF(OR(J129*K129=1,K129-J129=1),'!'!$GJ$14,""))</f>
        <v/>
      </c>
      <c r="B129" s="332">
        <f>IF(A129="",0,COUNTIF($A$25:$A129,'!'!$GJ$14))</f>
        <v>0</v>
      </c>
      <c r="C129" s="365"/>
      <c r="D129" s="328"/>
      <c r="E129" s="329"/>
      <c r="F129" s="329"/>
      <c r="G129" s="329"/>
      <c r="H129" s="364"/>
      <c r="I129" s="339" t="str">
        <f>IF(OR(VLOOKUP(C129,'!'!$GU$24:$HE$390,'!'!HE$17,FALSE)&gt;'!'!$GL$8,VLOOKUP(C129,'!'!$GU$24:$HE$390,'!'!HE$17,FALSE)&lt;'!'!$GL$7+1),"",$I$12)</f>
        <v/>
      </c>
      <c r="J129" s="357">
        <f>IF(Report!$G$4=C129,1,IF(Report!$H$4=C129,1,0))</f>
        <v>0</v>
      </c>
      <c r="K129" s="358">
        <f>SUM($J$25:J129)</f>
        <v>0</v>
      </c>
      <c r="L129" s="359"/>
    </row>
    <row r="130" spans="1:12" x14ac:dyDescent="0.35">
      <c r="A130" s="340" t="str">
        <f>IF(OR(C130&gt;Report!$H$4,C130&lt;Report!$G$4),"",IF(OR(J130*K130=1,K130-J130=1),'!'!$GJ$14,""))</f>
        <v/>
      </c>
      <c r="B130" s="332">
        <f>IF(A130="",0,COUNTIF($A$25:$A130,'!'!$GJ$14))</f>
        <v>0</v>
      </c>
      <c r="C130" s="365"/>
      <c r="D130" s="328"/>
      <c r="E130" s="329"/>
      <c r="F130" s="329"/>
      <c r="G130" s="329"/>
      <c r="H130" s="364"/>
      <c r="I130" s="339" t="str">
        <f>IF(OR(VLOOKUP(C130,'!'!$GU$24:$HE$390,'!'!HE$17,FALSE)&gt;'!'!$GL$8,VLOOKUP(C130,'!'!$GU$24:$HE$390,'!'!HE$17,FALSE)&lt;'!'!$GL$7+1),"",$I$12)</f>
        <v/>
      </c>
      <c r="J130" s="357">
        <f>IF(Report!$G$4=C130,1,IF(Report!$H$4=C130,1,0))</f>
        <v>0</v>
      </c>
      <c r="K130" s="358">
        <f>SUM($J$25:J130)</f>
        <v>0</v>
      </c>
      <c r="L130" s="359"/>
    </row>
    <row r="131" spans="1:12" x14ac:dyDescent="0.35">
      <c r="A131" s="340" t="str">
        <f>IF(OR(C131&gt;Report!$H$4,C131&lt;Report!$G$4),"",IF(OR(J131*K131=1,K131-J131=1),'!'!$GJ$14,""))</f>
        <v/>
      </c>
      <c r="B131" s="332">
        <f>IF(A131="",0,COUNTIF($A$25:$A131,'!'!$GJ$14))</f>
        <v>0</v>
      </c>
      <c r="C131" s="365"/>
      <c r="D131" s="328"/>
      <c r="E131" s="329"/>
      <c r="F131" s="329"/>
      <c r="G131" s="329"/>
      <c r="H131" s="364"/>
      <c r="I131" s="339" t="str">
        <f>IF(OR(VLOOKUP(C131,'!'!$GU$24:$HE$390,'!'!HE$17,FALSE)&gt;'!'!$GL$8,VLOOKUP(C131,'!'!$GU$24:$HE$390,'!'!HE$17,FALSE)&lt;'!'!$GL$7+1),"",$I$12)</f>
        <v/>
      </c>
      <c r="J131" s="357">
        <f>IF(Report!$G$4=C131,1,IF(Report!$H$4=C131,1,0))</f>
        <v>0</v>
      </c>
      <c r="K131" s="358">
        <f>SUM($J$25:J131)</f>
        <v>0</v>
      </c>
      <c r="L131" s="359"/>
    </row>
    <row r="132" spans="1:12" x14ac:dyDescent="0.35">
      <c r="A132" s="340" t="str">
        <f>IF(OR(C132&gt;Report!$H$4,C132&lt;Report!$G$4),"",IF(OR(J132*K132=1,K132-J132=1),'!'!$GJ$14,""))</f>
        <v/>
      </c>
      <c r="B132" s="332">
        <f>IF(A132="",0,COUNTIF($A$25:$A132,'!'!$GJ$14))</f>
        <v>0</v>
      </c>
      <c r="C132" s="365"/>
      <c r="D132" s="328"/>
      <c r="E132" s="329"/>
      <c r="F132" s="329"/>
      <c r="G132" s="329"/>
      <c r="H132" s="364"/>
      <c r="I132" s="339" t="str">
        <f>IF(OR(VLOOKUP(C132,'!'!$GU$24:$HE$390,'!'!HE$17,FALSE)&gt;'!'!$GL$8,VLOOKUP(C132,'!'!$GU$24:$HE$390,'!'!HE$17,FALSE)&lt;'!'!$GL$7+1),"",$I$12)</f>
        <v/>
      </c>
      <c r="J132" s="357">
        <f>IF(Report!$G$4=C132,1,IF(Report!$H$4=C132,1,0))</f>
        <v>0</v>
      </c>
      <c r="K132" s="358">
        <f>SUM($J$25:J132)</f>
        <v>0</v>
      </c>
      <c r="L132" s="359"/>
    </row>
    <row r="133" spans="1:12" x14ac:dyDescent="0.35">
      <c r="A133" s="340" t="str">
        <f>IF(OR(C133&gt;Report!$H$4,C133&lt;Report!$G$4),"",IF(OR(J133*K133=1,K133-J133=1),'!'!$GJ$14,""))</f>
        <v/>
      </c>
      <c r="B133" s="332">
        <f>IF(A133="",0,COUNTIF($A$25:$A133,'!'!$GJ$14))</f>
        <v>0</v>
      </c>
      <c r="C133" s="365"/>
      <c r="D133" s="328"/>
      <c r="E133" s="329"/>
      <c r="F133" s="329"/>
      <c r="G133" s="329"/>
      <c r="H133" s="364"/>
      <c r="I133" s="339" t="str">
        <f>IF(OR(VLOOKUP(C133,'!'!$GU$24:$HE$390,'!'!HE$17,FALSE)&gt;'!'!$GL$8,VLOOKUP(C133,'!'!$GU$24:$HE$390,'!'!HE$17,FALSE)&lt;'!'!$GL$7+1),"",$I$12)</f>
        <v/>
      </c>
      <c r="J133" s="357">
        <f>IF(Report!$G$4=C133,1,IF(Report!$H$4=C133,1,0))</f>
        <v>0</v>
      </c>
      <c r="K133" s="358">
        <f>SUM($J$25:J133)</f>
        <v>0</v>
      </c>
      <c r="L133" s="359"/>
    </row>
    <row r="134" spans="1:12" x14ac:dyDescent="0.35">
      <c r="A134" s="340" t="str">
        <f>IF(OR(C134&gt;Report!$H$4,C134&lt;Report!$G$4),"",IF(OR(J134*K134=1,K134-J134=1),'!'!$GJ$14,""))</f>
        <v/>
      </c>
      <c r="B134" s="332">
        <f>IF(A134="",0,COUNTIF($A$25:$A134,'!'!$GJ$14))</f>
        <v>0</v>
      </c>
      <c r="C134" s="365"/>
      <c r="D134" s="328"/>
      <c r="E134" s="329"/>
      <c r="F134" s="329"/>
      <c r="G134" s="329"/>
      <c r="H134" s="364"/>
      <c r="I134" s="339" t="str">
        <f>IF(OR(VLOOKUP(C134,'!'!$GU$24:$HE$390,'!'!HE$17,FALSE)&gt;'!'!$GL$8,VLOOKUP(C134,'!'!$GU$24:$HE$390,'!'!HE$17,FALSE)&lt;'!'!$GL$7+1),"",$I$12)</f>
        <v/>
      </c>
      <c r="J134" s="357">
        <f>IF(Report!$G$4=C134,1,IF(Report!$H$4=C134,1,0))</f>
        <v>0</v>
      </c>
      <c r="K134" s="358">
        <f>SUM($J$25:J134)</f>
        <v>0</v>
      </c>
      <c r="L134" s="359"/>
    </row>
    <row r="135" spans="1:12" x14ac:dyDescent="0.35">
      <c r="A135" s="340" t="str">
        <f>IF(OR(C135&gt;Report!$H$4,C135&lt;Report!$G$4),"",IF(OR(J135*K135=1,K135-J135=1),'!'!$GJ$14,""))</f>
        <v/>
      </c>
      <c r="B135" s="332">
        <f>IF(A135="",0,COUNTIF($A$25:$A135,'!'!$GJ$14))</f>
        <v>0</v>
      </c>
      <c r="C135" s="365"/>
      <c r="D135" s="328"/>
      <c r="E135" s="329"/>
      <c r="F135" s="329"/>
      <c r="G135" s="329"/>
      <c r="H135" s="364"/>
      <c r="I135" s="339" t="str">
        <f>IF(OR(VLOOKUP(C135,'!'!$GU$24:$HE$390,'!'!HE$17,FALSE)&gt;'!'!$GL$8,VLOOKUP(C135,'!'!$GU$24:$HE$390,'!'!HE$17,FALSE)&lt;'!'!$GL$7+1),"",$I$12)</f>
        <v/>
      </c>
      <c r="J135" s="357">
        <f>IF(Report!$G$4=C135,1,IF(Report!$H$4=C135,1,0))</f>
        <v>0</v>
      </c>
      <c r="K135" s="358">
        <f>SUM($J$25:J135)</f>
        <v>0</v>
      </c>
      <c r="L135" s="359"/>
    </row>
    <row r="136" spans="1:12" x14ac:dyDescent="0.35">
      <c r="A136" s="340" t="str">
        <f>IF(OR(C136&gt;Report!$H$4,C136&lt;Report!$G$4),"",IF(OR(J136*K136=1,K136-J136=1),'!'!$GJ$14,""))</f>
        <v/>
      </c>
      <c r="B136" s="332">
        <f>IF(A136="",0,COUNTIF($A$25:$A136,'!'!$GJ$14))</f>
        <v>0</v>
      </c>
      <c r="C136" s="365"/>
      <c r="D136" s="328"/>
      <c r="E136" s="329"/>
      <c r="F136" s="329"/>
      <c r="G136" s="329"/>
      <c r="H136" s="364"/>
      <c r="I136" s="339" t="str">
        <f>IF(OR(VLOOKUP(C136,'!'!$GU$24:$HE$390,'!'!HE$17,FALSE)&gt;'!'!$GL$8,VLOOKUP(C136,'!'!$GU$24:$HE$390,'!'!HE$17,FALSE)&lt;'!'!$GL$7+1),"",$I$12)</f>
        <v/>
      </c>
      <c r="J136" s="357">
        <f>IF(Report!$G$4=C136,1,IF(Report!$H$4=C136,1,0))</f>
        <v>0</v>
      </c>
      <c r="K136" s="358">
        <f>SUM($J$25:J136)</f>
        <v>0</v>
      </c>
      <c r="L136" s="359"/>
    </row>
    <row r="137" spans="1:12" x14ac:dyDescent="0.35">
      <c r="A137" s="340" t="str">
        <f>IF(OR(C137&gt;Report!$H$4,C137&lt;Report!$G$4),"",IF(OR(J137*K137=1,K137-J137=1),'!'!$GJ$14,""))</f>
        <v/>
      </c>
      <c r="B137" s="332">
        <f>IF(A137="",0,COUNTIF($A$25:$A137,'!'!$GJ$14))</f>
        <v>0</v>
      </c>
      <c r="C137" s="365"/>
      <c r="D137" s="328"/>
      <c r="E137" s="329"/>
      <c r="F137" s="329"/>
      <c r="G137" s="329"/>
      <c r="H137" s="364"/>
      <c r="I137" s="339" t="str">
        <f>IF(OR(VLOOKUP(C137,'!'!$GU$24:$HE$390,'!'!HE$17,FALSE)&gt;'!'!$GL$8,VLOOKUP(C137,'!'!$GU$24:$HE$390,'!'!HE$17,FALSE)&lt;'!'!$GL$7+1),"",$I$12)</f>
        <v/>
      </c>
      <c r="J137" s="357">
        <f>IF(Report!$G$4=C137,1,IF(Report!$H$4=C137,1,0))</f>
        <v>0</v>
      </c>
      <c r="K137" s="358">
        <f>SUM($J$25:J137)</f>
        <v>0</v>
      </c>
      <c r="L137" s="359"/>
    </row>
    <row r="138" spans="1:12" x14ac:dyDescent="0.35">
      <c r="A138" s="340" t="str">
        <f>IF(OR(C138&gt;Report!$H$4,C138&lt;Report!$G$4),"",IF(OR(J138*K138=1,K138-J138=1),'!'!$GJ$14,""))</f>
        <v/>
      </c>
      <c r="B138" s="332">
        <f>IF(A138="",0,COUNTIF($A$25:$A138,'!'!$GJ$14))</f>
        <v>0</v>
      </c>
      <c r="C138" s="365"/>
      <c r="D138" s="328"/>
      <c r="E138" s="329"/>
      <c r="F138" s="329"/>
      <c r="G138" s="329"/>
      <c r="H138" s="364"/>
      <c r="I138" s="339" t="str">
        <f>IF(OR(VLOOKUP(C138,'!'!$GU$24:$HE$390,'!'!HE$17,FALSE)&gt;'!'!$GL$8,VLOOKUP(C138,'!'!$GU$24:$HE$390,'!'!HE$17,FALSE)&lt;'!'!$GL$7+1),"",$I$12)</f>
        <v/>
      </c>
      <c r="J138" s="357">
        <f>IF(Report!$G$4=C138,1,IF(Report!$H$4=C138,1,0))</f>
        <v>0</v>
      </c>
      <c r="K138" s="358">
        <f>SUM($J$25:J138)</f>
        <v>0</v>
      </c>
      <c r="L138" s="359"/>
    </row>
    <row r="139" spans="1:12" x14ac:dyDescent="0.35">
      <c r="A139" s="340" t="str">
        <f>IF(OR(C139&gt;Report!$H$4,C139&lt;Report!$G$4),"",IF(OR(J139*K139=1,K139-J139=1),'!'!$GJ$14,""))</f>
        <v/>
      </c>
      <c r="B139" s="332">
        <f>IF(A139="",0,COUNTIF($A$25:$A139,'!'!$GJ$14))</f>
        <v>0</v>
      </c>
      <c r="C139" s="365"/>
      <c r="D139" s="328"/>
      <c r="E139" s="329"/>
      <c r="F139" s="329"/>
      <c r="G139" s="329"/>
      <c r="H139" s="364"/>
      <c r="I139" s="339" t="str">
        <f>IF(OR(VLOOKUP(C139,'!'!$GU$24:$HE$390,'!'!HE$17,FALSE)&gt;'!'!$GL$8,VLOOKUP(C139,'!'!$GU$24:$HE$390,'!'!HE$17,FALSE)&lt;'!'!$GL$7+1),"",$I$12)</f>
        <v/>
      </c>
      <c r="J139" s="357">
        <f>IF(Report!$G$4=C139,1,IF(Report!$H$4=C139,1,0))</f>
        <v>0</v>
      </c>
      <c r="K139" s="358">
        <f>SUM($J$25:J139)</f>
        <v>0</v>
      </c>
      <c r="L139" s="359"/>
    </row>
    <row r="140" spans="1:12" x14ac:dyDescent="0.35">
      <c r="A140" s="340" t="str">
        <f>IF(OR(C140&gt;Report!$H$4,C140&lt;Report!$G$4),"",IF(OR(J140*K140=1,K140-J140=1),'!'!$GJ$14,""))</f>
        <v/>
      </c>
      <c r="B140" s="332">
        <f>IF(A140="",0,COUNTIF($A$25:$A140,'!'!$GJ$14))</f>
        <v>0</v>
      </c>
      <c r="C140" s="365"/>
      <c r="D140" s="328"/>
      <c r="E140" s="329"/>
      <c r="F140" s="329"/>
      <c r="G140" s="329"/>
      <c r="H140" s="364"/>
      <c r="I140" s="339" t="str">
        <f>IF(OR(VLOOKUP(C140,'!'!$GU$24:$HE$390,'!'!HE$17,FALSE)&gt;'!'!$GL$8,VLOOKUP(C140,'!'!$GU$24:$HE$390,'!'!HE$17,FALSE)&lt;'!'!$GL$7+1),"",$I$12)</f>
        <v/>
      </c>
      <c r="J140" s="357">
        <f>IF(Report!$G$4=C140,1,IF(Report!$H$4=C140,1,0))</f>
        <v>0</v>
      </c>
      <c r="K140" s="358">
        <f>SUM($J$25:J140)</f>
        <v>0</v>
      </c>
      <c r="L140" s="359"/>
    </row>
    <row r="141" spans="1:12" x14ac:dyDescent="0.35">
      <c r="A141" s="340" t="str">
        <f>IF(OR(C141&gt;Report!$H$4,C141&lt;Report!$G$4),"",IF(OR(J141*K141=1,K141-J141=1),'!'!$GJ$14,""))</f>
        <v/>
      </c>
      <c r="B141" s="332">
        <f>IF(A141="",0,COUNTIF($A$25:$A141,'!'!$GJ$14))</f>
        <v>0</v>
      </c>
      <c r="C141" s="365"/>
      <c r="D141" s="328"/>
      <c r="E141" s="329"/>
      <c r="F141" s="329"/>
      <c r="G141" s="329"/>
      <c r="H141" s="364"/>
      <c r="I141" s="339" t="str">
        <f>IF(OR(VLOOKUP(C141,'!'!$GU$24:$HE$390,'!'!HE$17,FALSE)&gt;'!'!$GL$8,VLOOKUP(C141,'!'!$GU$24:$HE$390,'!'!HE$17,FALSE)&lt;'!'!$GL$7+1),"",$I$12)</f>
        <v/>
      </c>
      <c r="J141" s="357">
        <f>IF(Report!$G$4=C141,1,IF(Report!$H$4=C141,1,0))</f>
        <v>0</v>
      </c>
      <c r="K141" s="358">
        <f>SUM($J$25:J141)</f>
        <v>0</v>
      </c>
      <c r="L141" s="359"/>
    </row>
    <row r="142" spans="1:12" x14ac:dyDescent="0.35">
      <c r="A142" s="340" t="str">
        <f>IF(OR(C142&gt;Report!$H$4,C142&lt;Report!$G$4),"",IF(OR(J142*K142=1,K142-J142=1),'!'!$GJ$14,""))</f>
        <v/>
      </c>
      <c r="B142" s="332">
        <f>IF(A142="",0,COUNTIF($A$25:$A142,'!'!$GJ$14))</f>
        <v>0</v>
      </c>
      <c r="C142" s="365"/>
      <c r="D142" s="328"/>
      <c r="E142" s="329"/>
      <c r="F142" s="329"/>
      <c r="G142" s="329"/>
      <c r="H142" s="364"/>
      <c r="I142" s="339" t="str">
        <f>IF(OR(VLOOKUP(C142,'!'!$GU$24:$HE$390,'!'!HE$17,FALSE)&gt;'!'!$GL$8,VLOOKUP(C142,'!'!$GU$24:$HE$390,'!'!HE$17,FALSE)&lt;'!'!$GL$7+1),"",$I$12)</f>
        <v/>
      </c>
      <c r="J142" s="357">
        <f>IF(Report!$G$4=C142,1,IF(Report!$H$4=C142,1,0))</f>
        <v>0</v>
      </c>
      <c r="K142" s="358">
        <f>SUM($J$25:J142)</f>
        <v>0</v>
      </c>
      <c r="L142" s="359"/>
    </row>
    <row r="143" spans="1:12" x14ac:dyDescent="0.35">
      <c r="A143" s="340" t="str">
        <f>IF(OR(C143&gt;Report!$H$4,C143&lt;Report!$G$4),"",IF(OR(J143*K143=1,K143-J143=1),'!'!$GJ$14,""))</f>
        <v/>
      </c>
      <c r="B143" s="332">
        <f>IF(A143="",0,COUNTIF($A$25:$A143,'!'!$GJ$14))</f>
        <v>0</v>
      </c>
      <c r="C143" s="365"/>
      <c r="D143" s="328"/>
      <c r="E143" s="329"/>
      <c r="F143" s="329"/>
      <c r="G143" s="329"/>
      <c r="H143" s="364"/>
      <c r="I143" s="339" t="str">
        <f>IF(OR(VLOOKUP(C143,'!'!$GU$24:$HE$390,'!'!HE$17,FALSE)&gt;'!'!$GL$8,VLOOKUP(C143,'!'!$GU$24:$HE$390,'!'!HE$17,FALSE)&lt;'!'!$GL$7+1),"",$I$12)</f>
        <v/>
      </c>
      <c r="J143" s="357">
        <f>IF(Report!$G$4=C143,1,IF(Report!$H$4=C143,1,0))</f>
        <v>0</v>
      </c>
      <c r="K143" s="358">
        <f>SUM($J$25:J143)</f>
        <v>0</v>
      </c>
      <c r="L143" s="359"/>
    </row>
    <row r="144" spans="1:12" x14ac:dyDescent="0.35">
      <c r="A144" s="340" t="str">
        <f>IF(OR(C144&gt;Report!$H$4,C144&lt;Report!$G$4),"",IF(OR(J144*K144=1,K144-J144=1),'!'!$GJ$14,""))</f>
        <v/>
      </c>
      <c r="B144" s="332">
        <f>IF(A144="",0,COUNTIF($A$25:$A144,'!'!$GJ$14))</f>
        <v>0</v>
      </c>
      <c r="C144" s="365"/>
      <c r="D144" s="328"/>
      <c r="E144" s="329"/>
      <c r="F144" s="329"/>
      <c r="G144" s="329"/>
      <c r="H144" s="364"/>
      <c r="I144" s="339" t="str">
        <f>IF(OR(VLOOKUP(C144,'!'!$GU$24:$HE$390,'!'!HE$17,FALSE)&gt;'!'!$GL$8,VLOOKUP(C144,'!'!$GU$24:$HE$390,'!'!HE$17,FALSE)&lt;'!'!$GL$7+1),"",$I$12)</f>
        <v/>
      </c>
      <c r="J144" s="357">
        <f>IF(Report!$G$4=C144,1,IF(Report!$H$4=C144,1,0))</f>
        <v>0</v>
      </c>
      <c r="K144" s="358">
        <f>SUM($J$25:J144)</f>
        <v>0</v>
      </c>
      <c r="L144" s="359"/>
    </row>
    <row r="145" spans="1:12" x14ac:dyDescent="0.35">
      <c r="A145" s="340" t="str">
        <f>IF(OR(C145&gt;Report!$H$4,C145&lt;Report!$G$4),"",IF(OR(J145*K145=1,K145-J145=1),'!'!$GJ$14,""))</f>
        <v/>
      </c>
      <c r="B145" s="332">
        <f>IF(A145="",0,COUNTIF($A$25:$A145,'!'!$GJ$14))</f>
        <v>0</v>
      </c>
      <c r="C145" s="365"/>
      <c r="D145" s="328"/>
      <c r="E145" s="329"/>
      <c r="F145" s="329"/>
      <c r="G145" s="329"/>
      <c r="H145" s="364"/>
      <c r="I145" s="339" t="str">
        <f>IF(OR(VLOOKUP(C145,'!'!$GU$24:$HE$390,'!'!HE$17,FALSE)&gt;'!'!$GL$8,VLOOKUP(C145,'!'!$GU$24:$HE$390,'!'!HE$17,FALSE)&lt;'!'!$GL$7+1),"",$I$12)</f>
        <v/>
      </c>
      <c r="J145" s="357">
        <f>IF(Report!$G$4=C145,1,IF(Report!$H$4=C145,1,0))</f>
        <v>0</v>
      </c>
      <c r="K145" s="358">
        <f>SUM($J$25:J145)</f>
        <v>0</v>
      </c>
      <c r="L145" s="359"/>
    </row>
    <row r="146" spans="1:12" x14ac:dyDescent="0.35">
      <c r="A146" s="340" t="str">
        <f>IF(OR(C146&gt;Report!$H$4,C146&lt;Report!$G$4),"",IF(OR(J146*K146=1,K146-J146=1),'!'!$GJ$14,""))</f>
        <v/>
      </c>
      <c r="B146" s="332">
        <f>IF(A146="",0,COUNTIF($A$25:$A146,'!'!$GJ$14))</f>
        <v>0</v>
      </c>
      <c r="C146" s="365"/>
      <c r="D146" s="328"/>
      <c r="E146" s="329"/>
      <c r="F146" s="329"/>
      <c r="G146" s="329"/>
      <c r="H146" s="364"/>
      <c r="I146" s="339" t="str">
        <f>IF(OR(VLOOKUP(C146,'!'!$GU$24:$HE$390,'!'!HE$17,FALSE)&gt;'!'!$GL$8,VLOOKUP(C146,'!'!$GU$24:$HE$390,'!'!HE$17,FALSE)&lt;'!'!$GL$7+1),"",$I$12)</f>
        <v/>
      </c>
      <c r="J146" s="357">
        <f>IF(Report!$G$4=C146,1,IF(Report!$H$4=C146,1,0))</f>
        <v>0</v>
      </c>
      <c r="K146" s="358">
        <f>SUM($J$25:J146)</f>
        <v>0</v>
      </c>
      <c r="L146" s="359"/>
    </row>
    <row r="147" spans="1:12" x14ac:dyDescent="0.35">
      <c r="A147" s="340" t="str">
        <f>IF(OR(C147&gt;Report!$H$4,C147&lt;Report!$G$4),"",IF(OR(J147*K147=1,K147-J147=1),'!'!$GJ$14,""))</f>
        <v/>
      </c>
      <c r="B147" s="332">
        <f>IF(A147="",0,COUNTIF($A$25:$A147,'!'!$GJ$14))</f>
        <v>0</v>
      </c>
      <c r="C147" s="365"/>
      <c r="D147" s="328"/>
      <c r="E147" s="329"/>
      <c r="F147" s="329"/>
      <c r="G147" s="329"/>
      <c r="H147" s="364"/>
      <c r="I147" s="339" t="str">
        <f>IF(OR(VLOOKUP(C147,'!'!$GU$24:$HE$390,'!'!HE$17,FALSE)&gt;'!'!$GL$8,VLOOKUP(C147,'!'!$GU$24:$HE$390,'!'!HE$17,FALSE)&lt;'!'!$GL$7+1),"",$I$12)</f>
        <v/>
      </c>
      <c r="J147" s="357">
        <f>IF(Report!$G$4=C147,1,IF(Report!$H$4=C147,1,0))</f>
        <v>0</v>
      </c>
      <c r="K147" s="358">
        <f>SUM($J$25:J147)</f>
        <v>0</v>
      </c>
      <c r="L147" s="359"/>
    </row>
    <row r="148" spans="1:12" x14ac:dyDescent="0.35">
      <c r="A148" s="340" t="str">
        <f>IF(OR(C148&gt;Report!$H$4,C148&lt;Report!$G$4),"",IF(OR(J148*K148=1,K148-J148=1),'!'!$GJ$14,""))</f>
        <v/>
      </c>
      <c r="B148" s="332">
        <f>IF(A148="",0,COUNTIF($A$25:$A148,'!'!$GJ$14))</f>
        <v>0</v>
      </c>
      <c r="C148" s="365"/>
      <c r="D148" s="328"/>
      <c r="E148" s="329"/>
      <c r="F148" s="329"/>
      <c r="G148" s="329"/>
      <c r="H148" s="364"/>
      <c r="I148" s="339" t="str">
        <f>IF(OR(VLOOKUP(C148,'!'!$GU$24:$HE$390,'!'!HE$17,FALSE)&gt;'!'!$GL$8,VLOOKUP(C148,'!'!$GU$24:$HE$390,'!'!HE$17,FALSE)&lt;'!'!$GL$7+1),"",$I$12)</f>
        <v/>
      </c>
      <c r="J148" s="357">
        <f>IF(Report!$G$4=C148,1,IF(Report!$H$4=C148,1,0))</f>
        <v>0</v>
      </c>
      <c r="K148" s="358">
        <f>SUM($J$25:J148)</f>
        <v>0</v>
      </c>
      <c r="L148" s="359"/>
    </row>
    <row r="149" spans="1:12" x14ac:dyDescent="0.35">
      <c r="A149" s="340" t="str">
        <f>IF(OR(C149&gt;Report!$H$4,C149&lt;Report!$G$4),"",IF(OR(J149*K149=1,K149-J149=1),'!'!$GJ$14,""))</f>
        <v/>
      </c>
      <c r="B149" s="332">
        <f>IF(A149="",0,COUNTIF($A$25:$A149,'!'!$GJ$14))</f>
        <v>0</v>
      </c>
      <c r="C149" s="365"/>
      <c r="D149" s="328"/>
      <c r="E149" s="329"/>
      <c r="F149" s="329"/>
      <c r="G149" s="329"/>
      <c r="H149" s="364"/>
      <c r="I149" s="339" t="str">
        <f>IF(OR(VLOOKUP(C149,'!'!$GU$24:$HE$390,'!'!HE$17,FALSE)&gt;'!'!$GL$8,VLOOKUP(C149,'!'!$GU$24:$HE$390,'!'!HE$17,FALSE)&lt;'!'!$GL$7+1),"",$I$12)</f>
        <v/>
      </c>
      <c r="J149" s="357">
        <f>IF(Report!$G$4=C149,1,IF(Report!$H$4=C149,1,0))</f>
        <v>0</v>
      </c>
      <c r="K149" s="358">
        <f>SUM($J$25:J149)</f>
        <v>0</v>
      </c>
      <c r="L149" s="359"/>
    </row>
    <row r="150" spans="1:12" x14ac:dyDescent="0.35">
      <c r="A150" s="340" t="str">
        <f>IF(OR(C150&gt;Report!$H$4,C150&lt;Report!$G$4),"",IF(OR(J150*K150=1,K150-J150=1),'!'!$GJ$14,""))</f>
        <v/>
      </c>
      <c r="B150" s="332">
        <f>IF(A150="",0,COUNTIF($A$25:$A150,'!'!$GJ$14))</f>
        <v>0</v>
      </c>
      <c r="C150" s="365"/>
      <c r="D150" s="328"/>
      <c r="E150" s="329"/>
      <c r="F150" s="329"/>
      <c r="G150" s="329"/>
      <c r="H150" s="364"/>
      <c r="I150" s="339" t="str">
        <f>IF(OR(VLOOKUP(C150,'!'!$GU$24:$HE$390,'!'!HE$17,FALSE)&gt;'!'!$GL$8,VLOOKUP(C150,'!'!$GU$24:$HE$390,'!'!HE$17,FALSE)&lt;'!'!$GL$7+1),"",$I$12)</f>
        <v/>
      </c>
      <c r="J150" s="357">
        <f>IF(Report!$G$4=C150,1,IF(Report!$H$4=C150,1,0))</f>
        <v>0</v>
      </c>
      <c r="K150" s="358">
        <f>SUM($J$25:J150)</f>
        <v>0</v>
      </c>
      <c r="L150" s="359"/>
    </row>
    <row r="151" spans="1:12" x14ac:dyDescent="0.35">
      <c r="A151" s="340" t="str">
        <f>IF(OR(C151&gt;Report!$H$4,C151&lt;Report!$G$4),"",IF(OR(J151*K151=1,K151-J151=1),'!'!$GJ$14,""))</f>
        <v/>
      </c>
      <c r="B151" s="332">
        <f>IF(A151="",0,COUNTIF($A$25:$A151,'!'!$GJ$14))</f>
        <v>0</v>
      </c>
      <c r="C151" s="365"/>
      <c r="D151" s="328"/>
      <c r="E151" s="329"/>
      <c r="F151" s="329"/>
      <c r="G151" s="329"/>
      <c r="H151" s="364"/>
      <c r="I151" s="339" t="str">
        <f>IF(OR(VLOOKUP(C151,'!'!$GU$24:$HE$390,'!'!HE$17,FALSE)&gt;'!'!$GL$8,VLOOKUP(C151,'!'!$GU$24:$HE$390,'!'!HE$17,FALSE)&lt;'!'!$GL$7+1),"",$I$12)</f>
        <v/>
      </c>
      <c r="J151" s="357">
        <f>IF(Report!$G$4=C151,1,IF(Report!$H$4=C151,1,0))</f>
        <v>0</v>
      </c>
      <c r="K151" s="358">
        <f>SUM($J$25:J151)</f>
        <v>0</v>
      </c>
      <c r="L151" s="359"/>
    </row>
    <row r="152" spans="1:12" x14ac:dyDescent="0.35">
      <c r="A152" s="340" t="str">
        <f>IF(OR(C152&gt;Report!$H$4,C152&lt;Report!$G$4),"",IF(OR(J152*K152=1,K152-J152=1),'!'!$GJ$14,""))</f>
        <v/>
      </c>
      <c r="B152" s="332">
        <f>IF(A152="",0,COUNTIF($A$25:$A152,'!'!$GJ$14))</f>
        <v>0</v>
      </c>
      <c r="C152" s="365"/>
      <c r="D152" s="328"/>
      <c r="E152" s="329"/>
      <c r="F152" s="329"/>
      <c r="G152" s="329"/>
      <c r="H152" s="364"/>
      <c r="I152" s="339" t="str">
        <f>IF(OR(VLOOKUP(C152,'!'!$GU$24:$HE$390,'!'!HE$17,FALSE)&gt;'!'!$GL$8,VLOOKUP(C152,'!'!$GU$24:$HE$390,'!'!HE$17,FALSE)&lt;'!'!$GL$7+1),"",$I$12)</f>
        <v/>
      </c>
      <c r="J152" s="357">
        <f>IF(Report!$G$4=C152,1,IF(Report!$H$4=C152,1,0))</f>
        <v>0</v>
      </c>
      <c r="K152" s="358">
        <f>SUM($J$25:J152)</f>
        <v>0</v>
      </c>
      <c r="L152" s="359"/>
    </row>
    <row r="153" spans="1:12" x14ac:dyDescent="0.35">
      <c r="A153" s="340" t="str">
        <f>IF(OR(C153&gt;Report!$H$4,C153&lt;Report!$G$4),"",IF(OR(J153*K153=1,K153-J153=1),'!'!$GJ$14,""))</f>
        <v/>
      </c>
      <c r="B153" s="332">
        <f>IF(A153="",0,COUNTIF($A$25:$A153,'!'!$GJ$14))</f>
        <v>0</v>
      </c>
      <c r="C153" s="365"/>
      <c r="D153" s="328"/>
      <c r="E153" s="329"/>
      <c r="F153" s="329"/>
      <c r="G153" s="329"/>
      <c r="H153" s="364"/>
      <c r="I153" s="339" t="str">
        <f>IF(OR(VLOOKUP(C153,'!'!$GU$24:$HE$390,'!'!HE$17,FALSE)&gt;'!'!$GL$8,VLOOKUP(C153,'!'!$GU$24:$HE$390,'!'!HE$17,FALSE)&lt;'!'!$GL$7+1),"",$I$12)</f>
        <v/>
      </c>
      <c r="J153" s="357">
        <f>IF(Report!$G$4=C153,1,IF(Report!$H$4=C153,1,0))</f>
        <v>0</v>
      </c>
      <c r="K153" s="358">
        <f>SUM($J$25:J153)</f>
        <v>0</v>
      </c>
      <c r="L153" s="359"/>
    </row>
    <row r="154" spans="1:12" x14ac:dyDescent="0.35">
      <c r="A154" s="340" t="str">
        <f>IF(OR(C154&gt;Report!$H$4,C154&lt;Report!$G$4),"",IF(OR(J154*K154=1,K154-J154=1),'!'!$GJ$14,""))</f>
        <v/>
      </c>
      <c r="B154" s="332">
        <f>IF(A154="",0,COUNTIF($A$25:$A154,'!'!$GJ$14))</f>
        <v>0</v>
      </c>
      <c r="C154" s="365"/>
      <c r="D154" s="328"/>
      <c r="E154" s="329"/>
      <c r="F154" s="329"/>
      <c r="G154" s="329"/>
      <c r="H154" s="364"/>
      <c r="I154" s="339" t="str">
        <f>IF(OR(VLOOKUP(C154,'!'!$GU$24:$HE$390,'!'!HE$17,FALSE)&gt;'!'!$GL$8,VLOOKUP(C154,'!'!$GU$24:$HE$390,'!'!HE$17,FALSE)&lt;'!'!$GL$7+1),"",$I$12)</f>
        <v/>
      </c>
      <c r="J154" s="357">
        <f>IF(Report!$G$4=C154,1,IF(Report!$H$4=C154,1,0))</f>
        <v>0</v>
      </c>
      <c r="K154" s="358">
        <f>SUM($J$25:J154)</f>
        <v>0</v>
      </c>
      <c r="L154" s="359"/>
    </row>
    <row r="155" spans="1:12" x14ac:dyDescent="0.35">
      <c r="A155" s="340" t="str">
        <f>IF(OR(C155&gt;Report!$H$4,C155&lt;Report!$G$4),"",IF(OR(J155*K155=1,K155-J155=1),'!'!$GJ$14,""))</f>
        <v/>
      </c>
      <c r="B155" s="332">
        <f>IF(A155="",0,COUNTIF($A$25:$A155,'!'!$GJ$14))</f>
        <v>0</v>
      </c>
      <c r="C155" s="365"/>
      <c r="D155" s="328"/>
      <c r="E155" s="329"/>
      <c r="F155" s="329"/>
      <c r="G155" s="329"/>
      <c r="H155" s="364"/>
      <c r="I155" s="339" t="str">
        <f>IF(OR(VLOOKUP(C155,'!'!$GU$24:$HE$390,'!'!HE$17,FALSE)&gt;'!'!$GL$8,VLOOKUP(C155,'!'!$GU$24:$HE$390,'!'!HE$17,FALSE)&lt;'!'!$GL$7+1),"",$I$12)</f>
        <v/>
      </c>
      <c r="J155" s="357">
        <f>IF(Report!$G$4=C155,1,IF(Report!$H$4=C155,1,0))</f>
        <v>0</v>
      </c>
      <c r="K155" s="358">
        <f>SUM($J$25:J155)</f>
        <v>0</v>
      </c>
      <c r="L155" s="359"/>
    </row>
    <row r="156" spans="1:12" x14ac:dyDescent="0.35">
      <c r="A156" s="340" t="str">
        <f>IF(OR(C156&gt;Report!$H$4,C156&lt;Report!$G$4),"",IF(OR(J156*K156=1,K156-J156=1),'!'!$GJ$14,""))</f>
        <v/>
      </c>
      <c r="B156" s="332">
        <f>IF(A156="",0,COUNTIF($A$25:$A156,'!'!$GJ$14))</f>
        <v>0</v>
      </c>
      <c r="C156" s="365"/>
      <c r="D156" s="328"/>
      <c r="E156" s="329"/>
      <c r="F156" s="329"/>
      <c r="G156" s="329"/>
      <c r="H156" s="364"/>
      <c r="I156" s="339" t="str">
        <f>IF(OR(VLOOKUP(C156,'!'!$GU$24:$HE$390,'!'!HE$17,FALSE)&gt;'!'!$GL$8,VLOOKUP(C156,'!'!$GU$24:$HE$390,'!'!HE$17,FALSE)&lt;'!'!$GL$7+1),"",$I$12)</f>
        <v/>
      </c>
      <c r="J156" s="357">
        <f>IF(Report!$G$4=C156,1,IF(Report!$H$4=C156,1,0))</f>
        <v>0</v>
      </c>
      <c r="K156" s="358">
        <f>SUM($J$25:J156)</f>
        <v>0</v>
      </c>
      <c r="L156" s="359"/>
    </row>
    <row r="157" spans="1:12" x14ac:dyDescent="0.35">
      <c r="A157" s="340" t="str">
        <f>IF(OR(C157&gt;Report!$H$4,C157&lt;Report!$G$4),"",IF(OR(J157*K157=1,K157-J157=1),'!'!$GJ$14,""))</f>
        <v/>
      </c>
      <c r="B157" s="332">
        <f>IF(A157="",0,COUNTIF($A$25:$A157,'!'!$GJ$14))</f>
        <v>0</v>
      </c>
      <c r="C157" s="365"/>
      <c r="D157" s="328"/>
      <c r="E157" s="329"/>
      <c r="F157" s="329"/>
      <c r="G157" s="329"/>
      <c r="H157" s="364"/>
      <c r="I157" s="339" t="str">
        <f>IF(OR(VLOOKUP(C157,'!'!$GU$24:$HE$390,'!'!HE$17,FALSE)&gt;'!'!$GL$8,VLOOKUP(C157,'!'!$GU$24:$HE$390,'!'!HE$17,FALSE)&lt;'!'!$GL$7+1),"",$I$12)</f>
        <v/>
      </c>
      <c r="J157" s="357">
        <f>IF(Report!$G$4=C157,1,IF(Report!$H$4=C157,1,0))</f>
        <v>0</v>
      </c>
      <c r="K157" s="358">
        <f>SUM($J$25:J157)</f>
        <v>0</v>
      </c>
      <c r="L157" s="359"/>
    </row>
    <row r="158" spans="1:12" x14ac:dyDescent="0.35">
      <c r="A158" s="340" t="str">
        <f>IF(OR(C158&gt;Report!$H$4,C158&lt;Report!$G$4),"",IF(OR(J158*K158=1,K158-J158=1),'!'!$GJ$14,""))</f>
        <v/>
      </c>
      <c r="B158" s="332">
        <f>IF(A158="",0,COUNTIF($A$25:$A158,'!'!$GJ$14))</f>
        <v>0</v>
      </c>
      <c r="C158" s="365"/>
      <c r="D158" s="328"/>
      <c r="E158" s="329"/>
      <c r="F158" s="329"/>
      <c r="G158" s="329"/>
      <c r="H158" s="364"/>
      <c r="I158" s="339" t="str">
        <f>IF(OR(VLOOKUP(C158,'!'!$GU$24:$HE$390,'!'!HE$17,FALSE)&gt;'!'!$GL$8,VLOOKUP(C158,'!'!$GU$24:$HE$390,'!'!HE$17,FALSE)&lt;'!'!$GL$7+1),"",$I$12)</f>
        <v/>
      </c>
      <c r="J158" s="357">
        <f>IF(Report!$G$4=C158,1,IF(Report!$H$4=C158,1,0))</f>
        <v>0</v>
      </c>
      <c r="K158" s="358">
        <f>SUM($J$25:J158)</f>
        <v>0</v>
      </c>
      <c r="L158" s="359"/>
    </row>
    <row r="159" spans="1:12" x14ac:dyDescent="0.35">
      <c r="A159" s="340" t="str">
        <f>IF(OR(C159&gt;Report!$H$4,C159&lt;Report!$G$4),"",IF(OR(J159*K159=1,K159-J159=1),'!'!$GJ$14,""))</f>
        <v/>
      </c>
      <c r="B159" s="332">
        <f>IF(A159="",0,COUNTIF($A$25:$A159,'!'!$GJ$14))</f>
        <v>0</v>
      </c>
      <c r="C159" s="365"/>
      <c r="D159" s="328"/>
      <c r="E159" s="329"/>
      <c r="F159" s="329"/>
      <c r="G159" s="329"/>
      <c r="H159" s="364"/>
      <c r="I159" s="339" t="str">
        <f>IF(OR(VLOOKUP(C159,'!'!$GU$24:$HE$390,'!'!HE$17,FALSE)&gt;'!'!$GL$8,VLOOKUP(C159,'!'!$GU$24:$HE$390,'!'!HE$17,FALSE)&lt;'!'!$GL$7+1),"",$I$12)</f>
        <v/>
      </c>
      <c r="J159" s="357">
        <f>IF(Report!$G$4=C159,1,IF(Report!$H$4=C159,1,0))</f>
        <v>0</v>
      </c>
      <c r="K159" s="358">
        <f>SUM($J$25:J159)</f>
        <v>0</v>
      </c>
      <c r="L159" s="359"/>
    </row>
    <row r="160" spans="1:12" x14ac:dyDescent="0.35">
      <c r="A160" s="340" t="str">
        <f>IF(OR(C160&gt;Report!$H$4,C160&lt;Report!$G$4),"",IF(OR(J160*K160=1,K160-J160=1),'!'!$GJ$14,""))</f>
        <v/>
      </c>
      <c r="B160" s="332">
        <f>IF(A160="",0,COUNTIF($A$25:$A160,'!'!$GJ$14))</f>
        <v>0</v>
      </c>
      <c r="C160" s="365"/>
      <c r="D160" s="328"/>
      <c r="E160" s="329"/>
      <c r="F160" s="329"/>
      <c r="G160" s="329"/>
      <c r="H160" s="364"/>
      <c r="I160" s="339" t="str">
        <f>IF(OR(VLOOKUP(C160,'!'!$GU$24:$HE$390,'!'!HE$17,FALSE)&gt;'!'!$GL$8,VLOOKUP(C160,'!'!$GU$24:$HE$390,'!'!HE$17,FALSE)&lt;'!'!$GL$7+1),"",$I$12)</f>
        <v/>
      </c>
      <c r="J160" s="357">
        <f>IF(Report!$G$4=C160,1,IF(Report!$H$4=C160,1,0))</f>
        <v>0</v>
      </c>
      <c r="K160" s="358">
        <f>SUM($J$25:J160)</f>
        <v>0</v>
      </c>
      <c r="L160" s="359"/>
    </row>
    <row r="161" spans="1:12" x14ac:dyDescent="0.35">
      <c r="A161" s="340" t="str">
        <f>IF(OR(C161&gt;Report!$H$4,C161&lt;Report!$G$4),"",IF(OR(J161*K161=1,K161-J161=1),'!'!$GJ$14,""))</f>
        <v/>
      </c>
      <c r="B161" s="332">
        <f>IF(A161="",0,COUNTIF($A$25:$A161,'!'!$GJ$14))</f>
        <v>0</v>
      </c>
      <c r="C161" s="365"/>
      <c r="D161" s="328"/>
      <c r="E161" s="329"/>
      <c r="F161" s="329"/>
      <c r="G161" s="329"/>
      <c r="H161" s="364"/>
      <c r="I161" s="339" t="str">
        <f>IF(OR(VLOOKUP(C161,'!'!$GU$24:$HE$390,'!'!HE$17,FALSE)&gt;'!'!$GL$8,VLOOKUP(C161,'!'!$GU$24:$HE$390,'!'!HE$17,FALSE)&lt;'!'!$GL$7+1),"",$I$12)</f>
        <v/>
      </c>
      <c r="J161" s="357">
        <f>IF(Report!$G$4=C161,1,IF(Report!$H$4=C161,1,0))</f>
        <v>0</v>
      </c>
      <c r="K161" s="358">
        <f>SUM($J$25:J161)</f>
        <v>0</v>
      </c>
      <c r="L161" s="359"/>
    </row>
    <row r="162" spans="1:12" x14ac:dyDescent="0.35">
      <c r="A162" s="340" t="str">
        <f>IF(OR(C162&gt;Report!$H$4,C162&lt;Report!$G$4),"",IF(OR(J162*K162=1,K162-J162=1),'!'!$GJ$14,""))</f>
        <v/>
      </c>
      <c r="B162" s="332">
        <f>IF(A162="",0,COUNTIF($A$25:$A162,'!'!$GJ$14))</f>
        <v>0</v>
      </c>
      <c r="C162" s="365"/>
      <c r="D162" s="328"/>
      <c r="E162" s="329"/>
      <c r="F162" s="329"/>
      <c r="G162" s="329"/>
      <c r="H162" s="364"/>
      <c r="I162" s="339" t="str">
        <f>IF(OR(VLOOKUP(C162,'!'!$GU$24:$HE$390,'!'!HE$17,FALSE)&gt;'!'!$GL$8,VLOOKUP(C162,'!'!$GU$24:$HE$390,'!'!HE$17,FALSE)&lt;'!'!$GL$7+1),"",$I$12)</f>
        <v/>
      </c>
      <c r="J162" s="357">
        <f>IF(Report!$G$4=C162,1,IF(Report!$H$4=C162,1,0))</f>
        <v>0</v>
      </c>
      <c r="K162" s="358">
        <f>SUM($J$25:J162)</f>
        <v>0</v>
      </c>
      <c r="L162" s="359"/>
    </row>
    <row r="163" spans="1:12" x14ac:dyDescent="0.35">
      <c r="A163" s="340" t="str">
        <f>IF(OR(C163&gt;Report!$H$4,C163&lt;Report!$G$4),"",IF(OR(J163*K163=1,K163-J163=1),'!'!$GJ$14,""))</f>
        <v/>
      </c>
      <c r="B163" s="332">
        <f>IF(A163="",0,COUNTIF($A$25:$A163,'!'!$GJ$14))</f>
        <v>0</v>
      </c>
      <c r="C163" s="365"/>
      <c r="D163" s="328"/>
      <c r="E163" s="329"/>
      <c r="F163" s="329"/>
      <c r="G163" s="329"/>
      <c r="H163" s="364"/>
      <c r="I163" s="339" t="str">
        <f>IF(OR(VLOOKUP(C163,'!'!$GU$24:$HE$390,'!'!HE$17,FALSE)&gt;'!'!$GL$8,VLOOKUP(C163,'!'!$GU$24:$HE$390,'!'!HE$17,FALSE)&lt;'!'!$GL$7+1),"",$I$12)</f>
        <v/>
      </c>
      <c r="J163" s="357">
        <f>IF(Report!$G$4=C163,1,IF(Report!$H$4=C163,1,0))</f>
        <v>0</v>
      </c>
      <c r="K163" s="358">
        <f>SUM($J$25:J163)</f>
        <v>0</v>
      </c>
      <c r="L163" s="359"/>
    </row>
    <row r="164" spans="1:12" x14ac:dyDescent="0.35">
      <c r="A164" s="340" t="str">
        <f>IF(OR(C164&gt;Report!$H$4,C164&lt;Report!$G$4),"",IF(OR(J164*K164=1,K164-J164=1),'!'!$GJ$14,""))</f>
        <v/>
      </c>
      <c r="B164" s="332">
        <f>IF(A164="",0,COUNTIF($A$25:$A164,'!'!$GJ$14))</f>
        <v>0</v>
      </c>
      <c r="C164" s="365"/>
      <c r="D164" s="328"/>
      <c r="E164" s="329"/>
      <c r="F164" s="329"/>
      <c r="G164" s="329"/>
      <c r="H164" s="364"/>
      <c r="I164" s="339" t="str">
        <f>IF(OR(VLOOKUP(C164,'!'!$GU$24:$HE$390,'!'!HE$17,FALSE)&gt;'!'!$GL$8,VLOOKUP(C164,'!'!$GU$24:$HE$390,'!'!HE$17,FALSE)&lt;'!'!$GL$7+1),"",$I$12)</f>
        <v/>
      </c>
      <c r="J164" s="357">
        <f>IF(Report!$G$4=C164,1,IF(Report!$H$4=C164,1,0))</f>
        <v>0</v>
      </c>
      <c r="K164" s="358">
        <f>SUM($J$25:J164)</f>
        <v>0</v>
      </c>
      <c r="L164" s="359"/>
    </row>
    <row r="165" spans="1:12" x14ac:dyDescent="0.35">
      <c r="A165" s="340" t="str">
        <f>IF(OR(C165&gt;Report!$H$4,C165&lt;Report!$G$4),"",IF(OR(J165*K165=1,K165-J165=1),'!'!$GJ$14,""))</f>
        <v/>
      </c>
      <c r="B165" s="332">
        <f>IF(A165="",0,COUNTIF($A$25:$A165,'!'!$GJ$14))</f>
        <v>0</v>
      </c>
      <c r="C165" s="365"/>
      <c r="D165" s="328"/>
      <c r="E165" s="329"/>
      <c r="F165" s="329"/>
      <c r="G165" s="329"/>
      <c r="H165" s="364"/>
      <c r="I165" s="339" t="str">
        <f>IF(OR(VLOOKUP(C165,'!'!$GU$24:$HE$390,'!'!HE$17,FALSE)&gt;'!'!$GL$8,VLOOKUP(C165,'!'!$GU$24:$HE$390,'!'!HE$17,FALSE)&lt;'!'!$GL$7+1),"",$I$12)</f>
        <v/>
      </c>
      <c r="J165" s="357">
        <f>IF(Report!$G$4=C165,1,IF(Report!$H$4=C165,1,0))</f>
        <v>0</v>
      </c>
      <c r="K165" s="358">
        <f>SUM($J$25:J165)</f>
        <v>0</v>
      </c>
      <c r="L165" s="359"/>
    </row>
    <row r="166" spans="1:12" x14ac:dyDescent="0.35">
      <c r="A166" s="340" t="str">
        <f>IF(OR(C166&gt;Report!$H$4,C166&lt;Report!$G$4),"",IF(OR(J166*K166=1,K166-J166=1),'!'!$GJ$14,""))</f>
        <v/>
      </c>
      <c r="B166" s="332">
        <f>IF(A166="",0,COUNTIF($A$25:$A166,'!'!$GJ$14))</f>
        <v>0</v>
      </c>
      <c r="C166" s="365"/>
      <c r="D166" s="328"/>
      <c r="E166" s="329"/>
      <c r="F166" s="329"/>
      <c r="G166" s="329"/>
      <c r="H166" s="364"/>
      <c r="I166" s="339" t="str">
        <f>IF(OR(VLOOKUP(C166,'!'!$GU$24:$HE$390,'!'!HE$17,FALSE)&gt;'!'!$GL$8,VLOOKUP(C166,'!'!$GU$24:$HE$390,'!'!HE$17,FALSE)&lt;'!'!$GL$7+1),"",$I$12)</f>
        <v/>
      </c>
      <c r="J166" s="357">
        <f>IF(Report!$G$4=C166,1,IF(Report!$H$4=C166,1,0))</f>
        <v>0</v>
      </c>
      <c r="K166" s="358">
        <f>SUM($J$25:J166)</f>
        <v>0</v>
      </c>
      <c r="L166" s="359"/>
    </row>
    <row r="167" spans="1:12" x14ac:dyDescent="0.35">
      <c r="A167" s="340" t="str">
        <f>IF(OR(C167&gt;Report!$H$4,C167&lt;Report!$G$4),"",IF(OR(J167*K167=1,K167-J167=1),'!'!$GJ$14,""))</f>
        <v/>
      </c>
      <c r="B167" s="332">
        <f>IF(A167="",0,COUNTIF($A$25:$A167,'!'!$GJ$14))</f>
        <v>0</v>
      </c>
      <c r="C167" s="365"/>
      <c r="D167" s="328"/>
      <c r="E167" s="329"/>
      <c r="F167" s="329"/>
      <c r="G167" s="329"/>
      <c r="H167" s="364"/>
      <c r="I167" s="339" t="str">
        <f>IF(OR(VLOOKUP(C167,'!'!$GU$24:$HE$390,'!'!HE$17,FALSE)&gt;'!'!$GL$8,VLOOKUP(C167,'!'!$GU$24:$HE$390,'!'!HE$17,FALSE)&lt;'!'!$GL$7+1),"",$I$12)</f>
        <v/>
      </c>
      <c r="J167" s="357">
        <f>IF(Report!$G$4=C167,1,IF(Report!$H$4=C167,1,0))</f>
        <v>0</v>
      </c>
      <c r="K167" s="358">
        <f>SUM($J$25:J167)</f>
        <v>0</v>
      </c>
      <c r="L167" s="359"/>
    </row>
    <row r="168" spans="1:12" x14ac:dyDescent="0.35">
      <c r="A168" s="340" t="str">
        <f>IF(OR(C168&gt;Report!$H$4,C168&lt;Report!$G$4),"",IF(OR(J168*K168=1,K168-J168=1),'!'!$GJ$14,""))</f>
        <v/>
      </c>
      <c r="B168" s="332">
        <f>IF(A168="",0,COUNTIF($A$25:$A168,'!'!$GJ$14))</f>
        <v>0</v>
      </c>
      <c r="C168" s="365"/>
      <c r="D168" s="328"/>
      <c r="E168" s="329"/>
      <c r="F168" s="329"/>
      <c r="G168" s="329"/>
      <c r="H168" s="364"/>
      <c r="I168" s="339" t="str">
        <f>IF(OR(VLOOKUP(C168,'!'!$GU$24:$HE$390,'!'!HE$17,FALSE)&gt;'!'!$GL$8,VLOOKUP(C168,'!'!$GU$24:$HE$390,'!'!HE$17,FALSE)&lt;'!'!$GL$7+1),"",$I$12)</f>
        <v/>
      </c>
      <c r="J168" s="357">
        <f>IF(Report!$G$4=C168,1,IF(Report!$H$4=C168,1,0))</f>
        <v>0</v>
      </c>
      <c r="K168" s="358">
        <f>SUM($J$25:J168)</f>
        <v>0</v>
      </c>
      <c r="L168" s="359"/>
    </row>
    <row r="169" spans="1:12" x14ac:dyDescent="0.35">
      <c r="A169" s="340" t="str">
        <f>IF(OR(C169&gt;Report!$H$4,C169&lt;Report!$G$4),"",IF(OR(J169*K169=1,K169-J169=1),'!'!$GJ$14,""))</f>
        <v/>
      </c>
      <c r="B169" s="332">
        <f>IF(A169="",0,COUNTIF($A$25:$A169,'!'!$GJ$14))</f>
        <v>0</v>
      </c>
      <c r="C169" s="365"/>
      <c r="D169" s="328"/>
      <c r="E169" s="329"/>
      <c r="F169" s="329"/>
      <c r="G169" s="329"/>
      <c r="H169" s="364"/>
      <c r="I169" s="339" t="str">
        <f>IF(OR(VLOOKUP(C169,'!'!$GU$24:$HE$390,'!'!HE$17,FALSE)&gt;'!'!$GL$8,VLOOKUP(C169,'!'!$GU$24:$HE$390,'!'!HE$17,FALSE)&lt;'!'!$GL$7+1),"",$I$12)</f>
        <v/>
      </c>
      <c r="J169" s="357">
        <f>IF(Report!$G$4=C169,1,IF(Report!$H$4=C169,1,0))</f>
        <v>0</v>
      </c>
      <c r="K169" s="358">
        <f>SUM($J$25:J169)</f>
        <v>0</v>
      </c>
      <c r="L169" s="359"/>
    </row>
    <row r="170" spans="1:12" x14ac:dyDescent="0.35">
      <c r="A170" s="340" t="str">
        <f>IF(OR(C170&gt;Report!$H$4,C170&lt;Report!$G$4),"",IF(OR(J170*K170=1,K170-J170=1),'!'!$GJ$14,""))</f>
        <v/>
      </c>
      <c r="B170" s="332">
        <f>IF(A170="",0,COUNTIF($A$25:$A170,'!'!$GJ$14))</f>
        <v>0</v>
      </c>
      <c r="C170" s="365"/>
      <c r="D170" s="328"/>
      <c r="E170" s="329"/>
      <c r="F170" s="329"/>
      <c r="G170" s="329"/>
      <c r="H170" s="364"/>
      <c r="I170" s="339" t="str">
        <f>IF(OR(VLOOKUP(C170,'!'!$GU$24:$HE$390,'!'!HE$17,FALSE)&gt;'!'!$GL$8,VLOOKUP(C170,'!'!$GU$24:$HE$390,'!'!HE$17,FALSE)&lt;'!'!$GL$7+1),"",$I$12)</f>
        <v/>
      </c>
      <c r="J170" s="357">
        <f>IF(Report!$G$4=C170,1,IF(Report!$H$4=C170,1,0))</f>
        <v>0</v>
      </c>
      <c r="K170" s="358">
        <f>SUM($J$25:J170)</f>
        <v>0</v>
      </c>
      <c r="L170" s="359"/>
    </row>
    <row r="171" spans="1:12" x14ac:dyDescent="0.35">
      <c r="A171" s="340" t="str">
        <f>IF(OR(C171&gt;Report!$H$4,C171&lt;Report!$G$4),"",IF(OR(J171*K171=1,K171-J171=1),'!'!$GJ$14,""))</f>
        <v/>
      </c>
      <c r="B171" s="332">
        <f>IF(A171="",0,COUNTIF($A$25:$A171,'!'!$GJ$14))</f>
        <v>0</v>
      </c>
      <c r="C171" s="365"/>
      <c r="D171" s="328"/>
      <c r="E171" s="329"/>
      <c r="F171" s="329"/>
      <c r="G171" s="329"/>
      <c r="H171" s="364"/>
      <c r="I171" s="339" t="str">
        <f>IF(OR(VLOOKUP(C171,'!'!$GU$24:$HE$390,'!'!HE$17,FALSE)&gt;'!'!$GL$8,VLOOKUP(C171,'!'!$GU$24:$HE$390,'!'!HE$17,FALSE)&lt;'!'!$GL$7+1),"",$I$12)</f>
        <v/>
      </c>
      <c r="J171" s="357">
        <f>IF(Report!$G$4=C171,1,IF(Report!$H$4=C171,1,0))</f>
        <v>0</v>
      </c>
      <c r="K171" s="358">
        <f>SUM($J$25:J171)</f>
        <v>0</v>
      </c>
      <c r="L171" s="359"/>
    </row>
    <row r="172" spans="1:12" x14ac:dyDescent="0.35">
      <c r="A172" s="340" t="str">
        <f>IF(OR(C172&gt;Report!$H$4,C172&lt;Report!$G$4),"",IF(OR(J172*K172=1,K172-J172=1),'!'!$GJ$14,""))</f>
        <v/>
      </c>
      <c r="B172" s="332">
        <f>IF(A172="",0,COUNTIF($A$25:$A172,'!'!$GJ$14))</f>
        <v>0</v>
      </c>
      <c r="C172" s="365"/>
      <c r="D172" s="328"/>
      <c r="E172" s="329"/>
      <c r="F172" s="329"/>
      <c r="G172" s="329"/>
      <c r="H172" s="364"/>
      <c r="I172" s="339" t="str">
        <f>IF(OR(VLOOKUP(C172,'!'!$GU$24:$HE$390,'!'!HE$17,FALSE)&gt;'!'!$GL$8,VLOOKUP(C172,'!'!$GU$24:$HE$390,'!'!HE$17,FALSE)&lt;'!'!$GL$7+1),"",$I$12)</f>
        <v/>
      </c>
      <c r="J172" s="357">
        <f>IF(Report!$G$4=C172,1,IF(Report!$H$4=C172,1,0))</f>
        <v>0</v>
      </c>
      <c r="K172" s="358">
        <f>SUM($J$25:J172)</f>
        <v>0</v>
      </c>
      <c r="L172" s="359"/>
    </row>
    <row r="173" spans="1:12" x14ac:dyDescent="0.35">
      <c r="A173" s="340" t="str">
        <f>IF(OR(C173&gt;Report!$H$4,C173&lt;Report!$G$4),"",IF(OR(J173*K173=1,K173-J173=1),'!'!$GJ$14,""))</f>
        <v/>
      </c>
      <c r="B173" s="332">
        <f>IF(A173="",0,COUNTIF($A$25:$A173,'!'!$GJ$14))</f>
        <v>0</v>
      </c>
      <c r="C173" s="365"/>
      <c r="D173" s="328"/>
      <c r="E173" s="329"/>
      <c r="F173" s="329"/>
      <c r="G173" s="329"/>
      <c r="H173" s="364"/>
      <c r="I173" s="339" t="str">
        <f>IF(OR(VLOOKUP(C173,'!'!$GU$24:$HE$390,'!'!HE$17,FALSE)&gt;'!'!$GL$8,VLOOKUP(C173,'!'!$GU$24:$HE$390,'!'!HE$17,FALSE)&lt;'!'!$GL$7+1),"",$I$12)</f>
        <v/>
      </c>
      <c r="J173" s="357">
        <f>IF(Report!$G$4=C173,1,IF(Report!$H$4=C173,1,0))</f>
        <v>0</v>
      </c>
      <c r="K173" s="358">
        <f>SUM($J$25:J173)</f>
        <v>0</v>
      </c>
      <c r="L173" s="359"/>
    </row>
    <row r="174" spans="1:12" x14ac:dyDescent="0.35">
      <c r="A174" s="340" t="str">
        <f>IF(OR(C174&gt;Report!$H$4,C174&lt;Report!$G$4),"",IF(OR(J174*K174=1,K174-J174=1),'!'!$GJ$14,""))</f>
        <v/>
      </c>
      <c r="B174" s="332">
        <f>IF(A174="",0,COUNTIF($A$25:$A174,'!'!$GJ$14))</f>
        <v>0</v>
      </c>
      <c r="C174" s="365"/>
      <c r="D174" s="328"/>
      <c r="E174" s="329"/>
      <c r="F174" s="329"/>
      <c r="G174" s="329"/>
      <c r="H174" s="364"/>
      <c r="I174" s="339" t="str">
        <f>IF(OR(VLOOKUP(C174,'!'!$GU$24:$HE$390,'!'!HE$17,FALSE)&gt;'!'!$GL$8,VLOOKUP(C174,'!'!$GU$24:$HE$390,'!'!HE$17,FALSE)&lt;'!'!$GL$7+1),"",$I$12)</f>
        <v/>
      </c>
      <c r="J174" s="357">
        <f>IF(Report!$G$4=C174,1,IF(Report!$H$4=C174,1,0))</f>
        <v>0</v>
      </c>
      <c r="K174" s="358">
        <f>SUM($J$25:J174)</f>
        <v>0</v>
      </c>
      <c r="L174" s="359"/>
    </row>
    <row r="175" spans="1:12" x14ac:dyDescent="0.35">
      <c r="A175" s="340" t="str">
        <f>IF(OR(C175&gt;Report!$H$4,C175&lt;Report!$G$4),"",IF(OR(J175*K175=1,K175-J175=1),'!'!$GJ$14,""))</f>
        <v/>
      </c>
      <c r="B175" s="332">
        <f>IF(A175="",0,COUNTIF($A$25:$A175,'!'!$GJ$14))</f>
        <v>0</v>
      </c>
      <c r="C175" s="365"/>
      <c r="D175" s="328"/>
      <c r="E175" s="329"/>
      <c r="F175" s="329"/>
      <c r="G175" s="329"/>
      <c r="H175" s="364"/>
      <c r="I175" s="339" t="str">
        <f>IF(OR(VLOOKUP(C175,'!'!$GU$24:$HE$390,'!'!HE$17,FALSE)&gt;'!'!$GL$8,VLOOKUP(C175,'!'!$GU$24:$HE$390,'!'!HE$17,FALSE)&lt;'!'!$GL$7+1),"",$I$12)</f>
        <v/>
      </c>
      <c r="J175" s="357">
        <f>IF(Report!$G$4=C175,1,IF(Report!$H$4=C175,1,0))</f>
        <v>0</v>
      </c>
      <c r="K175" s="358">
        <f>SUM($J$25:J175)</f>
        <v>0</v>
      </c>
      <c r="L175" s="359"/>
    </row>
    <row r="176" spans="1:12" x14ac:dyDescent="0.35">
      <c r="A176" s="340" t="str">
        <f>IF(OR(C176&gt;Report!$H$4,C176&lt;Report!$G$4),"",IF(OR(J176*K176=1,K176-J176=1),'!'!$GJ$14,""))</f>
        <v/>
      </c>
      <c r="B176" s="332">
        <f>IF(A176="",0,COUNTIF($A$25:$A176,'!'!$GJ$14))</f>
        <v>0</v>
      </c>
      <c r="C176" s="365"/>
      <c r="D176" s="328"/>
      <c r="E176" s="329"/>
      <c r="F176" s="329"/>
      <c r="G176" s="329"/>
      <c r="H176" s="364"/>
      <c r="I176" s="339" t="str">
        <f>IF(OR(VLOOKUP(C176,'!'!$GU$24:$HE$390,'!'!HE$17,FALSE)&gt;'!'!$GL$8,VLOOKUP(C176,'!'!$GU$24:$HE$390,'!'!HE$17,FALSE)&lt;'!'!$GL$7+1),"",$I$12)</f>
        <v/>
      </c>
      <c r="J176" s="357">
        <f>IF(Report!$G$4=C176,1,IF(Report!$H$4=C176,1,0))</f>
        <v>0</v>
      </c>
      <c r="K176" s="358">
        <f>SUM($J$25:J176)</f>
        <v>0</v>
      </c>
      <c r="L176" s="359"/>
    </row>
    <row r="177" spans="1:12" x14ac:dyDescent="0.35">
      <c r="A177" s="340" t="str">
        <f>IF(OR(C177&gt;Report!$H$4,C177&lt;Report!$G$4),"",IF(OR(J177*K177=1,K177-J177=1),'!'!$GJ$14,""))</f>
        <v/>
      </c>
      <c r="B177" s="332">
        <f>IF(A177="",0,COUNTIF($A$25:$A177,'!'!$GJ$14))</f>
        <v>0</v>
      </c>
      <c r="C177" s="365"/>
      <c r="D177" s="328"/>
      <c r="E177" s="329"/>
      <c r="F177" s="329"/>
      <c r="G177" s="329"/>
      <c r="H177" s="364"/>
      <c r="I177" s="339" t="str">
        <f>IF(OR(VLOOKUP(C177,'!'!$GU$24:$HE$390,'!'!HE$17,FALSE)&gt;'!'!$GL$8,VLOOKUP(C177,'!'!$GU$24:$HE$390,'!'!HE$17,FALSE)&lt;'!'!$GL$7+1),"",$I$12)</f>
        <v/>
      </c>
      <c r="J177" s="357">
        <f>IF(Report!$G$4=C177,1,IF(Report!$H$4=C177,1,0))</f>
        <v>0</v>
      </c>
      <c r="K177" s="358">
        <f>SUM($J$25:J177)</f>
        <v>0</v>
      </c>
      <c r="L177" s="359"/>
    </row>
    <row r="178" spans="1:12" x14ac:dyDescent="0.35">
      <c r="A178" s="340" t="str">
        <f>IF(OR(C178&gt;Report!$H$4,C178&lt;Report!$G$4),"",IF(OR(J178*K178=1,K178-J178=1),'!'!$GJ$14,""))</f>
        <v/>
      </c>
      <c r="B178" s="332">
        <f>IF(A178="",0,COUNTIF($A$25:$A178,'!'!$GJ$14))</f>
        <v>0</v>
      </c>
      <c r="C178" s="365"/>
      <c r="D178" s="328"/>
      <c r="E178" s="329"/>
      <c r="F178" s="329"/>
      <c r="G178" s="329"/>
      <c r="H178" s="364"/>
      <c r="I178" s="339" t="str">
        <f>IF(OR(VLOOKUP(C178,'!'!$GU$24:$HE$390,'!'!HE$17,FALSE)&gt;'!'!$GL$8,VLOOKUP(C178,'!'!$GU$24:$HE$390,'!'!HE$17,FALSE)&lt;'!'!$GL$7+1),"",$I$12)</f>
        <v/>
      </c>
      <c r="J178" s="357">
        <f>IF(Report!$G$4=C178,1,IF(Report!$H$4=C178,1,0))</f>
        <v>0</v>
      </c>
      <c r="K178" s="358">
        <f>SUM($J$25:J178)</f>
        <v>0</v>
      </c>
      <c r="L178" s="359"/>
    </row>
    <row r="179" spans="1:12" x14ac:dyDescent="0.35">
      <c r="A179" s="340" t="str">
        <f>IF(OR(C179&gt;Report!$H$4,C179&lt;Report!$G$4),"",IF(OR(J179*K179=1,K179-J179=1),'!'!$GJ$14,""))</f>
        <v/>
      </c>
      <c r="B179" s="332">
        <f>IF(A179="",0,COUNTIF($A$25:$A179,'!'!$GJ$14))</f>
        <v>0</v>
      </c>
      <c r="C179" s="365"/>
      <c r="D179" s="328"/>
      <c r="E179" s="329"/>
      <c r="F179" s="329"/>
      <c r="G179" s="329"/>
      <c r="H179" s="364"/>
      <c r="I179" s="339" t="str">
        <f>IF(OR(VLOOKUP(C179,'!'!$GU$24:$HE$390,'!'!HE$17,FALSE)&gt;'!'!$GL$8,VLOOKUP(C179,'!'!$GU$24:$HE$390,'!'!HE$17,FALSE)&lt;'!'!$GL$7+1),"",$I$12)</f>
        <v/>
      </c>
      <c r="J179" s="357">
        <f>IF(Report!$G$4=C179,1,IF(Report!$H$4=C179,1,0))</f>
        <v>0</v>
      </c>
      <c r="K179" s="358">
        <f>SUM($J$25:J179)</f>
        <v>0</v>
      </c>
      <c r="L179" s="359"/>
    </row>
    <row r="180" spans="1:12" x14ac:dyDescent="0.35">
      <c r="A180" s="340" t="str">
        <f>IF(OR(C180&gt;Report!$H$4,C180&lt;Report!$G$4),"",IF(OR(J180*K180=1,K180-J180=1),'!'!$GJ$14,""))</f>
        <v/>
      </c>
      <c r="B180" s="332">
        <f>IF(A180="",0,COUNTIF($A$25:$A180,'!'!$GJ$14))</f>
        <v>0</v>
      </c>
      <c r="C180" s="365"/>
      <c r="D180" s="328"/>
      <c r="E180" s="329"/>
      <c r="F180" s="329"/>
      <c r="G180" s="329"/>
      <c r="H180" s="364"/>
      <c r="I180" s="339" t="str">
        <f>IF(OR(VLOOKUP(C180,'!'!$GU$24:$HE$390,'!'!HE$17,FALSE)&gt;'!'!$GL$8,VLOOKUP(C180,'!'!$GU$24:$HE$390,'!'!HE$17,FALSE)&lt;'!'!$GL$7+1),"",$I$12)</f>
        <v/>
      </c>
      <c r="J180" s="357">
        <f>IF(Report!$G$4=C180,1,IF(Report!$H$4=C180,1,0))</f>
        <v>0</v>
      </c>
      <c r="K180" s="358">
        <f>SUM($J$25:J180)</f>
        <v>0</v>
      </c>
      <c r="L180" s="359"/>
    </row>
    <row r="181" spans="1:12" x14ac:dyDescent="0.35">
      <c r="A181" s="340" t="str">
        <f>IF(OR(C181&gt;Report!$H$4,C181&lt;Report!$G$4),"",IF(OR(J181*K181=1,K181-J181=1),'!'!$GJ$14,""))</f>
        <v/>
      </c>
      <c r="B181" s="332">
        <f>IF(A181="",0,COUNTIF($A$25:$A181,'!'!$GJ$14))</f>
        <v>0</v>
      </c>
      <c r="C181" s="365"/>
      <c r="D181" s="328"/>
      <c r="E181" s="329"/>
      <c r="F181" s="329"/>
      <c r="G181" s="329"/>
      <c r="H181" s="364"/>
      <c r="I181" s="339" t="str">
        <f>IF(OR(VLOOKUP(C181,'!'!$GU$24:$HE$390,'!'!HE$17,FALSE)&gt;'!'!$GL$8,VLOOKUP(C181,'!'!$GU$24:$HE$390,'!'!HE$17,FALSE)&lt;'!'!$GL$7+1),"",$I$12)</f>
        <v/>
      </c>
      <c r="J181" s="357">
        <f>IF(Report!$G$4=C181,1,IF(Report!$H$4=C181,1,0))</f>
        <v>0</v>
      </c>
      <c r="K181" s="358">
        <f>SUM($J$25:J181)</f>
        <v>0</v>
      </c>
      <c r="L181" s="359"/>
    </row>
    <row r="182" spans="1:12" x14ac:dyDescent="0.35">
      <c r="A182" s="340" t="str">
        <f>IF(OR(C182&gt;Report!$H$4,C182&lt;Report!$G$4),"",IF(OR(J182*K182=1,K182-J182=1),'!'!$GJ$14,""))</f>
        <v/>
      </c>
      <c r="B182" s="332">
        <f>IF(A182="",0,COUNTIF($A$25:$A182,'!'!$GJ$14))</f>
        <v>0</v>
      </c>
      <c r="C182" s="365"/>
      <c r="D182" s="328"/>
      <c r="E182" s="329"/>
      <c r="F182" s="329"/>
      <c r="G182" s="329"/>
      <c r="H182" s="364"/>
      <c r="I182" s="339" t="str">
        <f>IF(OR(VLOOKUP(C182,'!'!$GU$24:$HE$390,'!'!HE$17,FALSE)&gt;'!'!$GL$8,VLOOKUP(C182,'!'!$GU$24:$HE$390,'!'!HE$17,FALSE)&lt;'!'!$GL$7+1),"",$I$12)</f>
        <v/>
      </c>
      <c r="J182" s="357">
        <f>IF(Report!$G$4=C182,1,IF(Report!$H$4=C182,1,0))</f>
        <v>0</v>
      </c>
      <c r="K182" s="358">
        <f>SUM($J$25:J182)</f>
        <v>0</v>
      </c>
      <c r="L182" s="359"/>
    </row>
    <row r="183" spans="1:12" x14ac:dyDescent="0.35">
      <c r="A183" s="340" t="str">
        <f>IF(OR(C183&gt;Report!$H$4,C183&lt;Report!$G$4),"",IF(OR(J183*K183=1,K183-J183=1),'!'!$GJ$14,""))</f>
        <v/>
      </c>
      <c r="B183" s="332">
        <f>IF(A183="",0,COUNTIF($A$25:$A183,'!'!$GJ$14))</f>
        <v>0</v>
      </c>
      <c r="C183" s="365"/>
      <c r="D183" s="328"/>
      <c r="E183" s="329"/>
      <c r="F183" s="329"/>
      <c r="G183" s="329"/>
      <c r="H183" s="364"/>
      <c r="I183" s="339" t="str">
        <f>IF(OR(VLOOKUP(C183,'!'!$GU$24:$HE$390,'!'!HE$17,FALSE)&gt;'!'!$GL$8,VLOOKUP(C183,'!'!$GU$24:$HE$390,'!'!HE$17,FALSE)&lt;'!'!$GL$7+1),"",$I$12)</f>
        <v/>
      </c>
      <c r="J183" s="357">
        <f>IF(Report!$G$4=C183,1,IF(Report!$H$4=C183,1,0))</f>
        <v>0</v>
      </c>
      <c r="K183" s="358">
        <f>SUM($J$25:J183)</f>
        <v>0</v>
      </c>
      <c r="L183" s="359"/>
    </row>
    <row r="184" spans="1:12" x14ac:dyDescent="0.35">
      <c r="A184" s="340" t="str">
        <f>IF(OR(C184&gt;Report!$H$4,C184&lt;Report!$G$4),"",IF(OR(J184*K184=1,K184-J184=1),'!'!$GJ$14,""))</f>
        <v/>
      </c>
      <c r="B184" s="332">
        <f>IF(A184="",0,COUNTIF($A$25:$A184,'!'!$GJ$14))</f>
        <v>0</v>
      </c>
      <c r="C184" s="365"/>
      <c r="D184" s="328"/>
      <c r="E184" s="329"/>
      <c r="F184" s="329"/>
      <c r="G184" s="329"/>
      <c r="H184" s="364"/>
      <c r="I184" s="339" t="str">
        <f>IF(OR(VLOOKUP(C184,'!'!$GU$24:$HE$390,'!'!HE$17,FALSE)&gt;'!'!$GL$8,VLOOKUP(C184,'!'!$GU$24:$HE$390,'!'!HE$17,FALSE)&lt;'!'!$GL$7+1),"",$I$12)</f>
        <v/>
      </c>
      <c r="J184" s="357">
        <f>IF(Report!$G$4=C184,1,IF(Report!$H$4=C184,1,0))</f>
        <v>0</v>
      </c>
      <c r="K184" s="358">
        <f>SUM($J$25:J184)</f>
        <v>0</v>
      </c>
      <c r="L184" s="359"/>
    </row>
    <row r="185" spans="1:12" x14ac:dyDescent="0.35">
      <c r="A185" s="340" t="str">
        <f>IF(OR(C185&gt;Report!$H$4,C185&lt;Report!$G$4),"",IF(OR(J185*K185=1,K185-J185=1),'!'!$GJ$14,""))</f>
        <v/>
      </c>
      <c r="B185" s="332">
        <f>IF(A185="",0,COUNTIF($A$25:$A185,'!'!$GJ$14))</f>
        <v>0</v>
      </c>
      <c r="C185" s="365"/>
      <c r="D185" s="328"/>
      <c r="E185" s="329"/>
      <c r="F185" s="329"/>
      <c r="G185" s="329"/>
      <c r="H185" s="364"/>
      <c r="I185" s="339" t="str">
        <f>IF(OR(VLOOKUP(C185,'!'!$GU$24:$HE$390,'!'!HE$17,FALSE)&gt;'!'!$GL$8,VLOOKUP(C185,'!'!$GU$24:$HE$390,'!'!HE$17,FALSE)&lt;'!'!$GL$7+1),"",$I$12)</f>
        <v/>
      </c>
      <c r="J185" s="357">
        <f>IF(Report!$G$4=C185,1,IF(Report!$H$4=C185,1,0))</f>
        <v>0</v>
      </c>
      <c r="K185" s="358">
        <f>SUM($J$25:J185)</f>
        <v>0</v>
      </c>
      <c r="L185" s="359"/>
    </row>
    <row r="186" spans="1:12" x14ac:dyDescent="0.35">
      <c r="A186" s="340" t="str">
        <f>IF(OR(C186&gt;Report!$H$4,C186&lt;Report!$G$4),"",IF(OR(J186*K186=1,K186-J186=1),'!'!$GJ$14,""))</f>
        <v/>
      </c>
      <c r="B186" s="332">
        <f>IF(A186="",0,COUNTIF($A$25:$A186,'!'!$GJ$14))</f>
        <v>0</v>
      </c>
      <c r="C186" s="365"/>
      <c r="D186" s="328"/>
      <c r="E186" s="329"/>
      <c r="F186" s="329"/>
      <c r="G186" s="329"/>
      <c r="H186" s="364"/>
      <c r="I186" s="339" t="str">
        <f>IF(OR(VLOOKUP(C186,'!'!$GU$24:$HE$390,'!'!HE$17,FALSE)&gt;'!'!$GL$8,VLOOKUP(C186,'!'!$GU$24:$HE$390,'!'!HE$17,FALSE)&lt;'!'!$GL$7+1),"",$I$12)</f>
        <v/>
      </c>
      <c r="J186" s="357">
        <f>IF(Report!$G$4=C186,1,IF(Report!$H$4=C186,1,0))</f>
        <v>0</v>
      </c>
      <c r="K186" s="358">
        <f>SUM($J$25:J186)</f>
        <v>0</v>
      </c>
      <c r="L186" s="359"/>
    </row>
    <row r="187" spans="1:12" x14ac:dyDescent="0.35">
      <c r="A187" s="340" t="str">
        <f>IF(OR(C187&gt;Report!$H$4,C187&lt;Report!$G$4),"",IF(OR(J187*K187=1,K187-J187=1),'!'!$GJ$14,""))</f>
        <v/>
      </c>
      <c r="B187" s="332">
        <f>IF(A187="",0,COUNTIF($A$25:$A187,'!'!$GJ$14))</f>
        <v>0</v>
      </c>
      <c r="C187" s="365"/>
      <c r="D187" s="328"/>
      <c r="E187" s="329"/>
      <c r="F187" s="329"/>
      <c r="G187" s="329"/>
      <c r="H187" s="364"/>
      <c r="I187" s="339" t="str">
        <f>IF(OR(VLOOKUP(C187,'!'!$GU$24:$HE$390,'!'!HE$17,FALSE)&gt;'!'!$GL$8,VLOOKUP(C187,'!'!$GU$24:$HE$390,'!'!HE$17,FALSE)&lt;'!'!$GL$7+1),"",$I$12)</f>
        <v/>
      </c>
      <c r="J187" s="357">
        <f>IF(Report!$G$4=C187,1,IF(Report!$H$4=C187,1,0))</f>
        <v>0</v>
      </c>
      <c r="K187" s="358">
        <f>SUM($J$25:J187)</f>
        <v>0</v>
      </c>
      <c r="L187" s="359"/>
    </row>
    <row r="188" spans="1:12" x14ac:dyDescent="0.35">
      <c r="A188" s="340" t="str">
        <f>IF(OR(C188&gt;Report!$H$4,C188&lt;Report!$G$4),"",IF(OR(J188*K188=1,K188-J188=1),'!'!$GJ$14,""))</f>
        <v/>
      </c>
      <c r="B188" s="332">
        <f>IF(A188="",0,COUNTIF($A$25:$A188,'!'!$GJ$14))</f>
        <v>0</v>
      </c>
      <c r="C188" s="365"/>
      <c r="D188" s="328"/>
      <c r="E188" s="329"/>
      <c r="F188" s="329"/>
      <c r="G188" s="329"/>
      <c r="H188" s="364"/>
      <c r="I188" s="339" t="str">
        <f>IF(OR(VLOOKUP(C188,'!'!$GU$24:$HE$390,'!'!HE$17,FALSE)&gt;'!'!$GL$8,VLOOKUP(C188,'!'!$GU$24:$HE$390,'!'!HE$17,FALSE)&lt;'!'!$GL$7+1),"",$I$12)</f>
        <v/>
      </c>
      <c r="J188" s="357">
        <f>IF(Report!$G$4=C188,1,IF(Report!$H$4=C188,1,0))</f>
        <v>0</v>
      </c>
      <c r="K188" s="358">
        <f>SUM($J$25:J188)</f>
        <v>0</v>
      </c>
      <c r="L188" s="359"/>
    </row>
    <row r="189" spans="1:12" x14ac:dyDescent="0.35">
      <c r="A189" s="340" t="str">
        <f>IF(OR(C189&gt;Report!$H$4,C189&lt;Report!$G$4),"",IF(OR(J189*K189=1,K189-J189=1),'!'!$GJ$14,""))</f>
        <v/>
      </c>
      <c r="B189" s="332">
        <f>IF(A189="",0,COUNTIF($A$25:$A189,'!'!$GJ$14))</f>
        <v>0</v>
      </c>
      <c r="C189" s="365"/>
      <c r="D189" s="328"/>
      <c r="E189" s="329"/>
      <c r="F189" s="329"/>
      <c r="G189" s="329"/>
      <c r="H189" s="364"/>
      <c r="I189" s="339" t="str">
        <f>IF(OR(VLOOKUP(C189,'!'!$GU$24:$HE$390,'!'!HE$17,FALSE)&gt;'!'!$GL$8,VLOOKUP(C189,'!'!$GU$24:$HE$390,'!'!HE$17,FALSE)&lt;'!'!$GL$7+1),"",$I$12)</f>
        <v/>
      </c>
      <c r="J189" s="357">
        <f>IF(Report!$G$4=C189,1,IF(Report!$H$4=C189,1,0))</f>
        <v>0</v>
      </c>
      <c r="K189" s="358">
        <f>SUM($J$25:J189)</f>
        <v>0</v>
      </c>
      <c r="L189" s="359"/>
    </row>
    <row r="190" spans="1:12" x14ac:dyDescent="0.35">
      <c r="A190" s="340" t="str">
        <f>IF(OR(C190&gt;Report!$H$4,C190&lt;Report!$G$4),"",IF(OR(J190*K190=1,K190-J190=1),'!'!$GJ$14,""))</f>
        <v/>
      </c>
      <c r="B190" s="332">
        <f>IF(A190="",0,COUNTIF($A$25:$A190,'!'!$GJ$14))</f>
        <v>0</v>
      </c>
      <c r="C190" s="365"/>
      <c r="D190" s="328"/>
      <c r="E190" s="329"/>
      <c r="F190" s="329"/>
      <c r="G190" s="329"/>
      <c r="H190" s="364"/>
      <c r="I190" s="339" t="str">
        <f>IF(OR(VLOOKUP(C190,'!'!$GU$24:$HE$390,'!'!HE$17,FALSE)&gt;'!'!$GL$8,VLOOKUP(C190,'!'!$GU$24:$HE$390,'!'!HE$17,FALSE)&lt;'!'!$GL$7+1),"",$I$12)</f>
        <v/>
      </c>
      <c r="J190" s="357">
        <f>IF(Report!$G$4=C190,1,IF(Report!$H$4=C190,1,0))</f>
        <v>0</v>
      </c>
      <c r="K190" s="358">
        <f>SUM($J$25:J190)</f>
        <v>0</v>
      </c>
      <c r="L190" s="359"/>
    </row>
    <row r="191" spans="1:12" x14ac:dyDescent="0.35">
      <c r="A191" s="340" t="str">
        <f>IF(OR(C191&gt;Report!$H$4,C191&lt;Report!$G$4),"",IF(OR(J191*K191=1,K191-J191=1),'!'!$GJ$14,""))</f>
        <v/>
      </c>
      <c r="B191" s="332">
        <f>IF(A191="",0,COUNTIF($A$25:$A191,'!'!$GJ$14))</f>
        <v>0</v>
      </c>
      <c r="C191" s="365"/>
      <c r="D191" s="328"/>
      <c r="E191" s="329"/>
      <c r="F191" s="329"/>
      <c r="G191" s="329"/>
      <c r="H191" s="364"/>
      <c r="I191" s="339" t="str">
        <f>IF(OR(VLOOKUP(C191,'!'!$GU$24:$HE$390,'!'!HE$17,FALSE)&gt;'!'!$GL$8,VLOOKUP(C191,'!'!$GU$24:$HE$390,'!'!HE$17,FALSE)&lt;'!'!$GL$7+1),"",$I$12)</f>
        <v/>
      </c>
      <c r="J191" s="357">
        <f>IF(Report!$G$4=C191,1,IF(Report!$H$4=C191,1,0))</f>
        <v>0</v>
      </c>
      <c r="K191" s="358">
        <f>SUM($J$25:J191)</f>
        <v>0</v>
      </c>
      <c r="L191" s="359"/>
    </row>
    <row r="192" spans="1:12" x14ac:dyDescent="0.35">
      <c r="A192" s="340" t="str">
        <f>IF(OR(C192&gt;Report!$H$4,C192&lt;Report!$G$4),"",IF(OR(J192*K192=1,K192-J192=1),'!'!$GJ$14,""))</f>
        <v/>
      </c>
      <c r="B192" s="332">
        <f>IF(A192="",0,COUNTIF($A$25:$A192,'!'!$GJ$14))</f>
        <v>0</v>
      </c>
      <c r="C192" s="365"/>
      <c r="D192" s="328"/>
      <c r="E192" s="329"/>
      <c r="F192" s="329"/>
      <c r="G192" s="329"/>
      <c r="H192" s="364"/>
      <c r="I192" s="339" t="str">
        <f>IF(OR(VLOOKUP(C192,'!'!$GU$24:$HE$390,'!'!HE$17,FALSE)&gt;'!'!$GL$8,VLOOKUP(C192,'!'!$GU$24:$HE$390,'!'!HE$17,FALSE)&lt;'!'!$GL$7+1),"",$I$12)</f>
        <v/>
      </c>
      <c r="J192" s="357">
        <f>IF(Report!$G$4=C192,1,IF(Report!$H$4=C192,1,0))</f>
        <v>0</v>
      </c>
      <c r="K192" s="358">
        <f>SUM($J$25:J192)</f>
        <v>0</v>
      </c>
      <c r="L192" s="359"/>
    </row>
    <row r="193" spans="1:12" x14ac:dyDescent="0.35">
      <c r="A193" s="340" t="str">
        <f>IF(OR(C193&gt;Report!$H$4,C193&lt;Report!$G$4),"",IF(OR(J193*K193=1,K193-J193=1),'!'!$GJ$14,""))</f>
        <v/>
      </c>
      <c r="B193" s="332">
        <f>IF(A193="",0,COUNTIF($A$25:$A193,'!'!$GJ$14))</f>
        <v>0</v>
      </c>
      <c r="C193" s="365"/>
      <c r="D193" s="328"/>
      <c r="E193" s="329"/>
      <c r="F193" s="329"/>
      <c r="G193" s="329"/>
      <c r="H193" s="364"/>
      <c r="I193" s="339" t="str">
        <f>IF(OR(VLOOKUP(C193,'!'!$GU$24:$HE$390,'!'!HE$17,FALSE)&gt;'!'!$GL$8,VLOOKUP(C193,'!'!$GU$24:$HE$390,'!'!HE$17,FALSE)&lt;'!'!$GL$7+1),"",$I$12)</f>
        <v/>
      </c>
      <c r="J193" s="357">
        <f>IF(Report!$G$4=C193,1,IF(Report!$H$4=C193,1,0))</f>
        <v>0</v>
      </c>
      <c r="K193" s="358">
        <f>SUM($J$25:J193)</f>
        <v>0</v>
      </c>
      <c r="L193" s="359"/>
    </row>
    <row r="194" spans="1:12" x14ac:dyDescent="0.35">
      <c r="A194" s="340" t="str">
        <f>IF(OR(C194&gt;Report!$H$4,C194&lt;Report!$G$4),"",IF(OR(J194*K194=1,K194-J194=1),'!'!$GJ$14,""))</f>
        <v/>
      </c>
      <c r="B194" s="332">
        <f>IF(A194="",0,COUNTIF($A$25:$A194,'!'!$GJ$14))</f>
        <v>0</v>
      </c>
      <c r="C194" s="365"/>
      <c r="D194" s="328"/>
      <c r="E194" s="329"/>
      <c r="F194" s="329"/>
      <c r="G194" s="329"/>
      <c r="H194" s="364"/>
      <c r="I194" s="339" t="str">
        <f>IF(OR(VLOOKUP(C194,'!'!$GU$24:$HE$390,'!'!HE$17,FALSE)&gt;'!'!$GL$8,VLOOKUP(C194,'!'!$GU$24:$HE$390,'!'!HE$17,FALSE)&lt;'!'!$GL$7+1),"",$I$12)</f>
        <v/>
      </c>
      <c r="J194" s="357">
        <f>IF(Report!$G$4=C194,1,IF(Report!$H$4=C194,1,0))</f>
        <v>0</v>
      </c>
      <c r="K194" s="358">
        <f>SUM($J$25:J194)</f>
        <v>0</v>
      </c>
      <c r="L194" s="359"/>
    </row>
    <row r="195" spans="1:12" x14ac:dyDescent="0.35">
      <c r="A195" s="340" t="str">
        <f>IF(OR(C195&gt;Report!$H$4,C195&lt;Report!$G$4),"",IF(OR(J195*K195=1,K195-J195=1),'!'!$GJ$14,""))</f>
        <v/>
      </c>
      <c r="B195" s="332">
        <f>IF(A195="",0,COUNTIF($A$25:$A195,'!'!$GJ$14))</f>
        <v>0</v>
      </c>
      <c r="C195" s="365"/>
      <c r="D195" s="328"/>
      <c r="E195" s="329"/>
      <c r="F195" s="329"/>
      <c r="G195" s="329"/>
      <c r="H195" s="364"/>
      <c r="I195" s="339" t="str">
        <f>IF(OR(VLOOKUP(C195,'!'!$GU$24:$HE$390,'!'!HE$17,FALSE)&gt;'!'!$GL$8,VLOOKUP(C195,'!'!$GU$24:$HE$390,'!'!HE$17,FALSE)&lt;'!'!$GL$7+1),"",$I$12)</f>
        <v/>
      </c>
      <c r="J195" s="357">
        <f>IF(Report!$G$4=C195,1,IF(Report!$H$4=C195,1,0))</f>
        <v>0</v>
      </c>
      <c r="K195" s="358">
        <f>SUM($J$25:J195)</f>
        <v>0</v>
      </c>
      <c r="L195" s="359"/>
    </row>
    <row r="196" spans="1:12" x14ac:dyDescent="0.35">
      <c r="A196" s="340" t="str">
        <f>IF(OR(C196&gt;Report!$H$4,C196&lt;Report!$G$4),"",IF(OR(J196*K196=1,K196-J196=1),'!'!$GJ$14,""))</f>
        <v/>
      </c>
      <c r="B196" s="332">
        <f>IF(A196="",0,COUNTIF($A$25:$A196,'!'!$GJ$14))</f>
        <v>0</v>
      </c>
      <c r="C196" s="365"/>
      <c r="D196" s="328"/>
      <c r="E196" s="329"/>
      <c r="F196" s="329"/>
      <c r="G196" s="329"/>
      <c r="H196" s="364"/>
      <c r="I196" s="339" t="str">
        <f>IF(OR(VLOOKUP(C196,'!'!$GU$24:$HE$390,'!'!HE$17,FALSE)&gt;'!'!$GL$8,VLOOKUP(C196,'!'!$GU$24:$HE$390,'!'!HE$17,FALSE)&lt;'!'!$GL$7+1),"",$I$12)</f>
        <v/>
      </c>
      <c r="J196" s="357">
        <f>IF(Report!$G$4=C196,1,IF(Report!$H$4=C196,1,0))</f>
        <v>0</v>
      </c>
      <c r="K196" s="358">
        <f>SUM($J$25:J196)</f>
        <v>0</v>
      </c>
      <c r="L196" s="359"/>
    </row>
    <row r="197" spans="1:12" x14ac:dyDescent="0.35">
      <c r="A197" s="340" t="str">
        <f>IF(OR(C197&gt;Report!$H$4,C197&lt;Report!$G$4),"",IF(OR(J197*K197=1,K197-J197=1),'!'!$GJ$14,""))</f>
        <v/>
      </c>
      <c r="B197" s="332">
        <f>IF(A197="",0,COUNTIF($A$25:$A197,'!'!$GJ$14))</f>
        <v>0</v>
      </c>
      <c r="C197" s="365"/>
      <c r="D197" s="328"/>
      <c r="E197" s="329"/>
      <c r="F197" s="329"/>
      <c r="G197" s="329"/>
      <c r="H197" s="364"/>
      <c r="I197" s="339" t="str">
        <f>IF(OR(VLOOKUP(C197,'!'!$GU$24:$HE$390,'!'!HE$17,FALSE)&gt;'!'!$GL$8,VLOOKUP(C197,'!'!$GU$24:$HE$390,'!'!HE$17,FALSE)&lt;'!'!$GL$7+1),"",$I$12)</f>
        <v/>
      </c>
      <c r="J197" s="357">
        <f>IF(Report!$G$4=C197,1,IF(Report!$H$4=C197,1,0))</f>
        <v>0</v>
      </c>
      <c r="K197" s="358">
        <f>SUM($J$25:J197)</f>
        <v>0</v>
      </c>
      <c r="L197" s="359"/>
    </row>
    <row r="198" spans="1:12" x14ac:dyDescent="0.35">
      <c r="A198" s="340" t="str">
        <f>IF(OR(C198&gt;Report!$H$4,C198&lt;Report!$G$4),"",IF(OR(J198*K198=1,K198-J198=1),'!'!$GJ$14,""))</f>
        <v/>
      </c>
      <c r="B198" s="332">
        <f>IF(A198="",0,COUNTIF($A$25:$A198,'!'!$GJ$14))</f>
        <v>0</v>
      </c>
      <c r="C198" s="365"/>
      <c r="D198" s="328"/>
      <c r="E198" s="329"/>
      <c r="F198" s="329"/>
      <c r="G198" s="329"/>
      <c r="H198" s="364"/>
      <c r="I198" s="339" t="str">
        <f>IF(OR(VLOOKUP(C198,'!'!$GU$24:$HE$390,'!'!HE$17,FALSE)&gt;'!'!$GL$8,VLOOKUP(C198,'!'!$GU$24:$HE$390,'!'!HE$17,FALSE)&lt;'!'!$GL$7+1),"",$I$12)</f>
        <v/>
      </c>
      <c r="J198" s="357">
        <f>IF(Report!$G$4=C198,1,IF(Report!$H$4=C198,1,0))</f>
        <v>0</v>
      </c>
      <c r="K198" s="358">
        <f>SUM($J$25:J198)</f>
        <v>0</v>
      </c>
      <c r="L198" s="359"/>
    </row>
    <row r="199" spans="1:12" x14ac:dyDescent="0.35">
      <c r="A199" s="340" t="str">
        <f>IF(OR(C199&gt;Report!$H$4,C199&lt;Report!$G$4),"",IF(OR(J199*K199=1,K199-J199=1),'!'!$GJ$14,""))</f>
        <v/>
      </c>
      <c r="B199" s="332">
        <f>IF(A199="",0,COUNTIF($A$25:$A199,'!'!$GJ$14))</f>
        <v>0</v>
      </c>
      <c r="C199" s="365"/>
      <c r="D199" s="328"/>
      <c r="E199" s="329"/>
      <c r="F199" s="329"/>
      <c r="G199" s="329"/>
      <c r="H199" s="364"/>
      <c r="I199" s="339" t="str">
        <f>IF(OR(VLOOKUP(C199,'!'!$GU$24:$HE$390,'!'!HE$17,FALSE)&gt;'!'!$GL$8,VLOOKUP(C199,'!'!$GU$24:$HE$390,'!'!HE$17,FALSE)&lt;'!'!$GL$7+1),"",$I$12)</f>
        <v/>
      </c>
      <c r="J199" s="357">
        <f>IF(Report!$G$4=C199,1,IF(Report!$H$4=C199,1,0))</f>
        <v>0</v>
      </c>
      <c r="K199" s="358">
        <f>SUM($J$25:J199)</f>
        <v>0</v>
      </c>
      <c r="L199" s="359"/>
    </row>
    <row r="200" spans="1:12" x14ac:dyDescent="0.35">
      <c r="A200" s="340" t="str">
        <f>IF(OR(C200&gt;Report!$H$4,C200&lt;Report!$G$4),"",IF(OR(J200*K200=1,K200-J200=1),'!'!$GJ$14,""))</f>
        <v/>
      </c>
      <c r="B200" s="332">
        <f>IF(A200="",0,COUNTIF($A$25:$A200,'!'!$GJ$14))</f>
        <v>0</v>
      </c>
      <c r="C200" s="365"/>
      <c r="D200" s="328"/>
      <c r="E200" s="329"/>
      <c r="F200" s="329"/>
      <c r="G200" s="329"/>
      <c r="H200" s="364"/>
      <c r="I200" s="339" t="str">
        <f>IF(OR(VLOOKUP(C200,'!'!$GU$24:$HE$390,'!'!HE$17,FALSE)&gt;'!'!$GL$8,VLOOKUP(C200,'!'!$GU$24:$HE$390,'!'!HE$17,FALSE)&lt;'!'!$GL$7+1),"",$I$12)</f>
        <v/>
      </c>
      <c r="J200" s="357">
        <f>IF(Report!$G$4=C200,1,IF(Report!$H$4=C200,1,0))</f>
        <v>0</v>
      </c>
      <c r="K200" s="358">
        <f>SUM($J$25:J200)</f>
        <v>0</v>
      </c>
      <c r="L200" s="359"/>
    </row>
    <row r="201" spans="1:12" x14ac:dyDescent="0.35">
      <c r="A201" s="340" t="str">
        <f>IF(OR(C201&gt;Report!$H$4,C201&lt;Report!$G$4),"",IF(OR(J201*K201=1,K201-J201=1),'!'!$GJ$14,""))</f>
        <v/>
      </c>
      <c r="B201" s="332">
        <f>IF(A201="",0,COUNTIF($A$25:$A201,'!'!$GJ$14))</f>
        <v>0</v>
      </c>
      <c r="C201" s="365"/>
      <c r="D201" s="328"/>
      <c r="E201" s="329"/>
      <c r="F201" s="329"/>
      <c r="G201" s="329"/>
      <c r="H201" s="364"/>
      <c r="I201" s="339" t="str">
        <f>IF(OR(VLOOKUP(C201,'!'!$GU$24:$HE$390,'!'!HE$17,FALSE)&gt;'!'!$GL$8,VLOOKUP(C201,'!'!$GU$24:$HE$390,'!'!HE$17,FALSE)&lt;'!'!$GL$7+1),"",$I$12)</f>
        <v/>
      </c>
      <c r="J201" s="357">
        <f>IF(Report!$G$4=C201,1,IF(Report!$H$4=C201,1,0))</f>
        <v>0</v>
      </c>
      <c r="K201" s="358">
        <f>SUM($J$25:J201)</f>
        <v>0</v>
      </c>
      <c r="L201" s="359"/>
    </row>
    <row r="202" spans="1:12" x14ac:dyDescent="0.35">
      <c r="A202" s="340" t="str">
        <f>IF(OR(C202&gt;Report!$H$4,C202&lt;Report!$G$4),"",IF(OR(J202*K202=1,K202-J202=1),'!'!$GJ$14,""))</f>
        <v/>
      </c>
      <c r="B202" s="332">
        <f>IF(A202="",0,COUNTIF($A$25:$A202,'!'!$GJ$14))</f>
        <v>0</v>
      </c>
      <c r="C202" s="365"/>
      <c r="D202" s="328"/>
      <c r="E202" s="329"/>
      <c r="F202" s="329"/>
      <c r="G202" s="329"/>
      <c r="H202" s="364"/>
      <c r="I202" s="339" t="str">
        <f>IF(OR(VLOOKUP(C202,'!'!$GU$24:$HE$390,'!'!HE$17,FALSE)&gt;'!'!$GL$8,VLOOKUP(C202,'!'!$GU$24:$HE$390,'!'!HE$17,FALSE)&lt;'!'!$GL$7+1),"",$I$12)</f>
        <v/>
      </c>
      <c r="J202" s="357">
        <f>IF(Report!$G$4=C202,1,IF(Report!$H$4=C202,1,0))</f>
        <v>0</v>
      </c>
      <c r="K202" s="358">
        <f>SUM($J$25:J202)</f>
        <v>0</v>
      </c>
      <c r="L202" s="359"/>
    </row>
    <row r="203" spans="1:12" x14ac:dyDescent="0.35">
      <c r="A203" s="340" t="str">
        <f>IF(OR(C203&gt;Report!$H$4,C203&lt;Report!$G$4),"",IF(OR(J203*K203=1,K203-J203=1),'!'!$GJ$14,""))</f>
        <v/>
      </c>
      <c r="B203" s="332">
        <f>IF(A203="",0,COUNTIF($A$25:$A203,'!'!$GJ$14))</f>
        <v>0</v>
      </c>
      <c r="C203" s="365"/>
      <c r="D203" s="328"/>
      <c r="E203" s="329"/>
      <c r="F203" s="329"/>
      <c r="G203" s="329"/>
      <c r="H203" s="364"/>
      <c r="I203" s="339" t="str">
        <f>IF(OR(VLOOKUP(C203,'!'!$GU$24:$HE$390,'!'!HE$17,FALSE)&gt;'!'!$GL$8,VLOOKUP(C203,'!'!$GU$24:$HE$390,'!'!HE$17,FALSE)&lt;'!'!$GL$7+1),"",$I$12)</f>
        <v/>
      </c>
      <c r="J203" s="357">
        <f>IF(Report!$G$4=C203,1,IF(Report!$H$4=C203,1,0))</f>
        <v>0</v>
      </c>
      <c r="K203" s="358">
        <f>SUM($J$25:J203)</f>
        <v>0</v>
      </c>
      <c r="L203" s="359"/>
    </row>
    <row r="204" spans="1:12" x14ac:dyDescent="0.35">
      <c r="A204" s="340" t="str">
        <f>IF(OR(C204&gt;Report!$H$4,C204&lt;Report!$G$4),"",IF(OR(J204*K204=1,K204-J204=1),'!'!$GJ$14,""))</f>
        <v/>
      </c>
      <c r="B204" s="332">
        <f>IF(A204="",0,COUNTIF($A$25:$A204,'!'!$GJ$14))</f>
        <v>0</v>
      </c>
      <c r="C204" s="365"/>
      <c r="D204" s="328"/>
      <c r="E204" s="329"/>
      <c r="F204" s="329"/>
      <c r="G204" s="329"/>
      <c r="H204" s="364"/>
      <c r="I204" s="339" t="str">
        <f>IF(OR(VLOOKUP(C204,'!'!$GU$24:$HE$390,'!'!HE$17,FALSE)&gt;'!'!$GL$8,VLOOKUP(C204,'!'!$GU$24:$HE$390,'!'!HE$17,FALSE)&lt;'!'!$GL$7+1),"",$I$12)</f>
        <v/>
      </c>
      <c r="J204" s="357">
        <f>IF(Report!$G$4=C204,1,IF(Report!$H$4=C204,1,0))</f>
        <v>0</v>
      </c>
      <c r="K204" s="358">
        <f>SUM($J$25:J204)</f>
        <v>0</v>
      </c>
      <c r="L204" s="359"/>
    </row>
    <row r="205" spans="1:12" x14ac:dyDescent="0.35">
      <c r="A205" s="340" t="str">
        <f>IF(OR(C205&gt;Report!$H$4,C205&lt;Report!$G$4),"",IF(OR(J205*K205=1,K205-J205=1),'!'!$GJ$14,""))</f>
        <v/>
      </c>
      <c r="B205" s="332">
        <f>IF(A205="",0,COUNTIF($A$25:$A205,'!'!$GJ$14))</f>
        <v>0</v>
      </c>
      <c r="C205" s="365"/>
      <c r="D205" s="328"/>
      <c r="E205" s="329"/>
      <c r="F205" s="329"/>
      <c r="G205" s="329"/>
      <c r="H205" s="364"/>
      <c r="I205" s="339" t="str">
        <f>IF(OR(VLOOKUP(C205,'!'!$GU$24:$HE$390,'!'!HE$17,FALSE)&gt;'!'!$GL$8,VLOOKUP(C205,'!'!$GU$24:$HE$390,'!'!HE$17,FALSE)&lt;'!'!$GL$7+1),"",$I$12)</f>
        <v/>
      </c>
      <c r="J205" s="357">
        <f>IF(Report!$G$4=C205,1,IF(Report!$H$4=C205,1,0))</f>
        <v>0</v>
      </c>
      <c r="K205" s="358">
        <f>SUM($J$25:J205)</f>
        <v>0</v>
      </c>
      <c r="L205" s="359"/>
    </row>
    <row r="206" spans="1:12" x14ac:dyDescent="0.35">
      <c r="A206" s="340" t="str">
        <f>IF(OR(C206&gt;Report!$H$4,C206&lt;Report!$G$4),"",IF(OR(J206*K206=1,K206-J206=1),'!'!$GJ$14,""))</f>
        <v/>
      </c>
      <c r="B206" s="332">
        <f>IF(A206="",0,COUNTIF($A$25:$A206,'!'!$GJ$14))</f>
        <v>0</v>
      </c>
      <c r="C206" s="365"/>
      <c r="D206" s="328"/>
      <c r="E206" s="329"/>
      <c r="F206" s="329"/>
      <c r="G206" s="329"/>
      <c r="H206" s="364"/>
      <c r="I206" s="339" t="str">
        <f>IF(OR(VLOOKUP(C206,'!'!$GU$24:$HE$390,'!'!HE$17,FALSE)&gt;'!'!$GL$8,VLOOKUP(C206,'!'!$GU$24:$HE$390,'!'!HE$17,FALSE)&lt;'!'!$GL$7+1),"",$I$12)</f>
        <v/>
      </c>
      <c r="J206" s="357">
        <f>IF(Report!$G$4=C206,1,IF(Report!$H$4=C206,1,0))</f>
        <v>0</v>
      </c>
      <c r="K206" s="358">
        <f>SUM($J$25:J206)</f>
        <v>0</v>
      </c>
      <c r="L206" s="359"/>
    </row>
    <row r="207" spans="1:12" x14ac:dyDescent="0.35">
      <c r="A207" s="340" t="str">
        <f>IF(OR(C207&gt;Report!$H$4,C207&lt;Report!$G$4),"",IF(OR(J207*K207=1,K207-J207=1),'!'!$GJ$14,""))</f>
        <v/>
      </c>
      <c r="B207" s="332">
        <f>IF(A207="",0,COUNTIF($A$25:$A207,'!'!$GJ$14))</f>
        <v>0</v>
      </c>
      <c r="C207" s="365"/>
      <c r="D207" s="328"/>
      <c r="E207" s="329"/>
      <c r="F207" s="329"/>
      <c r="G207" s="329"/>
      <c r="H207" s="364"/>
      <c r="I207" s="339" t="str">
        <f>IF(OR(VLOOKUP(C207,'!'!$GU$24:$HE$390,'!'!HE$17,FALSE)&gt;'!'!$GL$8,VLOOKUP(C207,'!'!$GU$24:$HE$390,'!'!HE$17,FALSE)&lt;'!'!$GL$7+1),"",$I$12)</f>
        <v/>
      </c>
      <c r="J207" s="357">
        <f>IF(Report!$G$4=C207,1,IF(Report!$H$4=C207,1,0))</f>
        <v>0</v>
      </c>
      <c r="K207" s="358">
        <f>SUM($J$25:J207)</f>
        <v>0</v>
      </c>
      <c r="L207" s="359"/>
    </row>
    <row r="208" spans="1:12" x14ac:dyDescent="0.35">
      <c r="A208" s="340" t="str">
        <f>IF(OR(C208&gt;Report!$H$4,C208&lt;Report!$G$4),"",IF(OR(J208*K208=1,K208-J208=1),'!'!$GJ$14,""))</f>
        <v/>
      </c>
      <c r="B208" s="332">
        <f>IF(A208="",0,COUNTIF($A$25:$A208,'!'!$GJ$14))</f>
        <v>0</v>
      </c>
      <c r="C208" s="365"/>
      <c r="D208" s="328"/>
      <c r="E208" s="329"/>
      <c r="F208" s="329"/>
      <c r="G208" s="329"/>
      <c r="H208" s="364"/>
      <c r="I208" s="339" t="str">
        <f>IF(OR(VLOOKUP(C208,'!'!$GU$24:$HE$390,'!'!HE$17,FALSE)&gt;'!'!$GL$8,VLOOKUP(C208,'!'!$GU$24:$HE$390,'!'!HE$17,FALSE)&lt;'!'!$GL$7+1),"",$I$12)</f>
        <v/>
      </c>
      <c r="J208" s="357">
        <f>IF(Report!$G$4=C208,1,IF(Report!$H$4=C208,1,0))</f>
        <v>0</v>
      </c>
      <c r="K208" s="358">
        <f>SUM($J$25:J208)</f>
        <v>0</v>
      </c>
      <c r="L208" s="359"/>
    </row>
    <row r="209" spans="1:12" x14ac:dyDescent="0.35">
      <c r="A209" s="340" t="str">
        <f>IF(OR(C209&gt;Report!$H$4,C209&lt;Report!$G$4),"",IF(OR(J209*K209=1,K209-J209=1),'!'!$GJ$14,""))</f>
        <v/>
      </c>
      <c r="B209" s="332">
        <f>IF(A209="",0,COUNTIF($A$25:$A209,'!'!$GJ$14))</f>
        <v>0</v>
      </c>
      <c r="C209" s="365"/>
      <c r="D209" s="328"/>
      <c r="E209" s="329"/>
      <c r="F209" s="329"/>
      <c r="G209" s="329"/>
      <c r="H209" s="364"/>
      <c r="I209" s="339" t="str">
        <f>IF(OR(VLOOKUP(C209,'!'!$GU$24:$HE$390,'!'!HE$17,FALSE)&gt;'!'!$GL$8,VLOOKUP(C209,'!'!$GU$24:$HE$390,'!'!HE$17,FALSE)&lt;'!'!$GL$7+1),"",$I$12)</f>
        <v/>
      </c>
      <c r="J209" s="357">
        <f>IF(Report!$G$4=C209,1,IF(Report!$H$4=C209,1,0))</f>
        <v>0</v>
      </c>
      <c r="K209" s="358">
        <f>SUM($J$25:J209)</f>
        <v>0</v>
      </c>
      <c r="L209" s="359"/>
    </row>
    <row r="210" spans="1:12" x14ac:dyDescent="0.35">
      <c r="A210" s="340" t="str">
        <f>IF(OR(C210&gt;Report!$H$4,C210&lt;Report!$G$4),"",IF(OR(J210*K210=1,K210-J210=1),'!'!$GJ$14,""))</f>
        <v/>
      </c>
      <c r="B210" s="332">
        <f>IF(A210="",0,COUNTIF($A$25:$A210,'!'!$GJ$14))</f>
        <v>0</v>
      </c>
      <c r="C210" s="365"/>
      <c r="D210" s="328"/>
      <c r="E210" s="329"/>
      <c r="F210" s="329"/>
      <c r="G210" s="329"/>
      <c r="H210" s="364"/>
      <c r="I210" s="339" t="str">
        <f>IF(OR(VLOOKUP(C210,'!'!$GU$24:$HE$390,'!'!HE$17,FALSE)&gt;'!'!$GL$8,VLOOKUP(C210,'!'!$GU$24:$HE$390,'!'!HE$17,FALSE)&lt;'!'!$GL$7+1),"",$I$12)</f>
        <v/>
      </c>
      <c r="J210" s="357">
        <f>IF(Report!$G$4=C210,1,IF(Report!$H$4=C210,1,0))</f>
        <v>0</v>
      </c>
      <c r="K210" s="358">
        <f>SUM($J$25:J210)</f>
        <v>0</v>
      </c>
      <c r="L210" s="359"/>
    </row>
    <row r="211" spans="1:12" x14ac:dyDescent="0.35">
      <c r="A211" s="340" t="str">
        <f>IF(OR(C211&gt;Report!$H$4,C211&lt;Report!$G$4),"",IF(OR(J211*K211=1,K211-J211=1),'!'!$GJ$14,""))</f>
        <v/>
      </c>
      <c r="B211" s="332">
        <f>IF(A211="",0,COUNTIF($A$25:$A211,'!'!$GJ$14))</f>
        <v>0</v>
      </c>
      <c r="C211" s="365"/>
      <c r="D211" s="328"/>
      <c r="E211" s="329"/>
      <c r="F211" s="329"/>
      <c r="G211" s="329"/>
      <c r="H211" s="364"/>
      <c r="I211" s="339" t="str">
        <f>IF(OR(VLOOKUP(C211,'!'!$GU$24:$HE$390,'!'!HE$17,FALSE)&gt;'!'!$GL$8,VLOOKUP(C211,'!'!$GU$24:$HE$390,'!'!HE$17,FALSE)&lt;'!'!$GL$7+1),"",$I$12)</f>
        <v/>
      </c>
      <c r="J211" s="357">
        <f>IF(Report!$G$4=C211,1,IF(Report!$H$4=C211,1,0))</f>
        <v>0</v>
      </c>
      <c r="K211" s="358">
        <f>SUM($J$25:J211)</f>
        <v>0</v>
      </c>
      <c r="L211" s="359"/>
    </row>
    <row r="212" spans="1:12" x14ac:dyDescent="0.35">
      <c r="A212" s="340" t="str">
        <f>IF(OR(C212&gt;Report!$H$4,C212&lt;Report!$G$4),"",IF(OR(J212*K212=1,K212-J212=1),'!'!$GJ$14,""))</f>
        <v/>
      </c>
      <c r="B212" s="332">
        <f>IF(A212="",0,COUNTIF($A$25:$A212,'!'!$GJ$14))</f>
        <v>0</v>
      </c>
      <c r="C212" s="365"/>
      <c r="D212" s="328"/>
      <c r="E212" s="329"/>
      <c r="F212" s="329"/>
      <c r="G212" s="329"/>
      <c r="H212" s="364"/>
      <c r="I212" s="339" t="str">
        <f>IF(OR(VLOOKUP(C212,'!'!$GU$24:$HE$390,'!'!HE$17,FALSE)&gt;'!'!$GL$8,VLOOKUP(C212,'!'!$GU$24:$HE$390,'!'!HE$17,FALSE)&lt;'!'!$GL$7+1),"",$I$12)</f>
        <v/>
      </c>
      <c r="J212" s="357">
        <f>IF(Report!$G$4=C212,1,IF(Report!$H$4=C212,1,0))</f>
        <v>0</v>
      </c>
      <c r="K212" s="358">
        <f>SUM($J$25:J212)</f>
        <v>0</v>
      </c>
      <c r="L212" s="359"/>
    </row>
    <row r="213" spans="1:12" x14ac:dyDescent="0.35">
      <c r="A213" s="340" t="str">
        <f>IF(OR(C213&gt;Report!$H$4,C213&lt;Report!$G$4),"",IF(OR(J213*K213=1,K213-J213=1),'!'!$GJ$14,""))</f>
        <v/>
      </c>
      <c r="B213" s="332">
        <f>IF(A213="",0,COUNTIF($A$25:$A213,'!'!$GJ$14))</f>
        <v>0</v>
      </c>
      <c r="C213" s="365"/>
      <c r="D213" s="328"/>
      <c r="E213" s="329"/>
      <c r="F213" s="329"/>
      <c r="G213" s="329"/>
      <c r="H213" s="364"/>
      <c r="I213" s="339" t="str">
        <f>IF(OR(VLOOKUP(C213,'!'!$GU$24:$HE$390,'!'!HE$17,FALSE)&gt;'!'!$GL$8,VLOOKUP(C213,'!'!$GU$24:$HE$390,'!'!HE$17,FALSE)&lt;'!'!$GL$7+1),"",$I$12)</f>
        <v/>
      </c>
      <c r="J213" s="357">
        <f>IF(Report!$G$4=C213,1,IF(Report!$H$4=C213,1,0))</f>
        <v>0</v>
      </c>
      <c r="K213" s="358">
        <f>SUM($J$25:J213)</f>
        <v>0</v>
      </c>
      <c r="L213" s="359"/>
    </row>
    <row r="214" spans="1:12" x14ac:dyDescent="0.35">
      <c r="A214" s="340" t="str">
        <f>IF(OR(C214&gt;Report!$H$4,C214&lt;Report!$G$4),"",IF(OR(J214*K214=1,K214-J214=1),'!'!$GJ$14,""))</f>
        <v/>
      </c>
      <c r="B214" s="332">
        <f>IF(A214="",0,COUNTIF($A$25:$A214,'!'!$GJ$14))</f>
        <v>0</v>
      </c>
      <c r="C214" s="365"/>
      <c r="D214" s="328"/>
      <c r="E214" s="329"/>
      <c r="F214" s="329"/>
      <c r="G214" s="329"/>
      <c r="H214" s="364"/>
      <c r="I214" s="339" t="str">
        <f>IF(OR(VLOOKUP(C214,'!'!$GU$24:$HE$390,'!'!HE$17,FALSE)&gt;'!'!$GL$8,VLOOKUP(C214,'!'!$GU$24:$HE$390,'!'!HE$17,FALSE)&lt;'!'!$GL$7+1),"",$I$12)</f>
        <v/>
      </c>
      <c r="J214" s="357">
        <f>IF(Report!$G$4=C214,1,IF(Report!$H$4=C214,1,0))</f>
        <v>0</v>
      </c>
      <c r="K214" s="358">
        <f>SUM($J$25:J214)</f>
        <v>0</v>
      </c>
      <c r="L214" s="359"/>
    </row>
    <row r="215" spans="1:12" x14ac:dyDescent="0.35">
      <c r="A215" s="340" t="str">
        <f>IF(OR(C215&gt;Report!$H$4,C215&lt;Report!$G$4),"",IF(OR(J215*K215=1,K215-J215=1),'!'!$GJ$14,""))</f>
        <v/>
      </c>
      <c r="B215" s="332">
        <f>IF(A215="",0,COUNTIF($A$25:$A215,'!'!$GJ$14))</f>
        <v>0</v>
      </c>
      <c r="C215" s="365"/>
      <c r="D215" s="328"/>
      <c r="E215" s="329"/>
      <c r="F215" s="329"/>
      <c r="G215" s="329"/>
      <c r="H215" s="364"/>
      <c r="I215" s="339" t="str">
        <f>IF(OR(VLOOKUP(C215,'!'!$GU$24:$HE$390,'!'!HE$17,FALSE)&gt;'!'!$GL$8,VLOOKUP(C215,'!'!$GU$24:$HE$390,'!'!HE$17,FALSE)&lt;'!'!$GL$7+1),"",$I$12)</f>
        <v/>
      </c>
      <c r="J215" s="357">
        <f>IF(Report!$G$4=C215,1,IF(Report!$H$4=C215,1,0))</f>
        <v>0</v>
      </c>
      <c r="K215" s="358">
        <f>SUM($J$25:J215)</f>
        <v>0</v>
      </c>
      <c r="L215" s="359"/>
    </row>
    <row r="216" spans="1:12" x14ac:dyDescent="0.35">
      <c r="A216" s="340" t="str">
        <f>IF(OR(C216&gt;Report!$H$4,C216&lt;Report!$G$4),"",IF(OR(J216*K216=1,K216-J216=1),'!'!$GJ$14,""))</f>
        <v/>
      </c>
      <c r="B216" s="332">
        <f>IF(A216="",0,COUNTIF($A$25:$A216,'!'!$GJ$14))</f>
        <v>0</v>
      </c>
      <c r="C216" s="365"/>
      <c r="D216" s="328"/>
      <c r="E216" s="329"/>
      <c r="F216" s="329"/>
      <c r="G216" s="329"/>
      <c r="H216" s="364"/>
      <c r="I216" s="339" t="str">
        <f>IF(OR(VLOOKUP(C216,'!'!$GU$24:$HE$390,'!'!HE$17,FALSE)&gt;'!'!$GL$8,VLOOKUP(C216,'!'!$GU$24:$HE$390,'!'!HE$17,FALSE)&lt;'!'!$GL$7+1),"",$I$12)</f>
        <v/>
      </c>
      <c r="J216" s="357">
        <f>IF(Report!$G$4=C216,1,IF(Report!$H$4=C216,1,0))</f>
        <v>0</v>
      </c>
      <c r="K216" s="358">
        <f>SUM($J$25:J216)</f>
        <v>0</v>
      </c>
      <c r="L216" s="359"/>
    </row>
    <row r="217" spans="1:12" x14ac:dyDescent="0.35">
      <c r="A217" s="340" t="str">
        <f>IF(OR(C217&gt;Report!$H$4,C217&lt;Report!$G$4),"",IF(OR(J217*K217=1,K217-J217=1),'!'!$GJ$14,""))</f>
        <v/>
      </c>
      <c r="B217" s="332">
        <f>IF(A217="",0,COUNTIF($A$25:$A217,'!'!$GJ$14))</f>
        <v>0</v>
      </c>
      <c r="C217" s="365"/>
      <c r="D217" s="328"/>
      <c r="E217" s="329"/>
      <c r="F217" s="329"/>
      <c r="G217" s="329"/>
      <c r="H217" s="364"/>
      <c r="I217" s="339" t="str">
        <f>IF(OR(VLOOKUP(C217,'!'!$GU$24:$HE$390,'!'!HE$17,FALSE)&gt;'!'!$GL$8,VLOOKUP(C217,'!'!$GU$24:$HE$390,'!'!HE$17,FALSE)&lt;'!'!$GL$7+1),"",$I$12)</f>
        <v/>
      </c>
      <c r="J217" s="357">
        <f>IF(Report!$G$4=C217,1,IF(Report!$H$4=C217,1,0))</f>
        <v>0</v>
      </c>
      <c r="K217" s="358">
        <f>SUM($J$25:J217)</f>
        <v>0</v>
      </c>
      <c r="L217" s="359"/>
    </row>
    <row r="218" spans="1:12" x14ac:dyDescent="0.35">
      <c r="A218" s="340" t="str">
        <f>IF(OR(C218&gt;Report!$H$4,C218&lt;Report!$G$4),"",IF(OR(J218*K218=1,K218-J218=1),'!'!$GJ$14,""))</f>
        <v/>
      </c>
      <c r="B218" s="332">
        <f>IF(A218="",0,COUNTIF($A$25:$A218,'!'!$GJ$14))</f>
        <v>0</v>
      </c>
      <c r="C218" s="365"/>
      <c r="D218" s="328"/>
      <c r="E218" s="329"/>
      <c r="F218" s="329"/>
      <c r="G218" s="329"/>
      <c r="H218" s="364"/>
      <c r="I218" s="339" t="str">
        <f>IF(OR(VLOOKUP(C218,'!'!$GU$24:$HE$390,'!'!HE$17,FALSE)&gt;'!'!$GL$8,VLOOKUP(C218,'!'!$GU$24:$HE$390,'!'!HE$17,FALSE)&lt;'!'!$GL$7+1),"",$I$12)</f>
        <v/>
      </c>
      <c r="J218" s="357">
        <f>IF(Report!$G$4=C218,1,IF(Report!$H$4=C218,1,0))</f>
        <v>0</v>
      </c>
      <c r="K218" s="358">
        <f>SUM($J$25:J218)</f>
        <v>0</v>
      </c>
      <c r="L218" s="359"/>
    </row>
    <row r="219" spans="1:12" x14ac:dyDescent="0.35">
      <c r="A219" s="340" t="str">
        <f>IF(OR(C219&gt;Report!$H$4,C219&lt;Report!$G$4),"",IF(OR(J219*K219=1,K219-J219=1),'!'!$GJ$14,""))</f>
        <v/>
      </c>
      <c r="B219" s="332">
        <f>IF(A219="",0,COUNTIF($A$25:$A219,'!'!$GJ$14))</f>
        <v>0</v>
      </c>
      <c r="C219" s="365"/>
      <c r="D219" s="328"/>
      <c r="E219" s="329"/>
      <c r="F219" s="329"/>
      <c r="G219" s="329"/>
      <c r="H219" s="364"/>
      <c r="I219" s="339" t="str">
        <f>IF(OR(VLOOKUP(C219,'!'!$GU$24:$HE$390,'!'!HE$17,FALSE)&gt;'!'!$GL$8,VLOOKUP(C219,'!'!$GU$24:$HE$390,'!'!HE$17,FALSE)&lt;'!'!$GL$7+1),"",$I$12)</f>
        <v/>
      </c>
      <c r="J219" s="357">
        <f>IF(Report!$G$4=C219,1,IF(Report!$H$4=C219,1,0))</f>
        <v>0</v>
      </c>
      <c r="K219" s="358">
        <f>SUM($J$25:J219)</f>
        <v>0</v>
      </c>
      <c r="L219" s="359"/>
    </row>
    <row r="220" spans="1:12" x14ac:dyDescent="0.35">
      <c r="A220" s="340" t="str">
        <f>IF(OR(C220&gt;Report!$H$4,C220&lt;Report!$G$4),"",IF(OR(J220*K220=1,K220-J220=1),'!'!$GJ$14,""))</f>
        <v/>
      </c>
      <c r="B220" s="332">
        <f>IF(A220="",0,COUNTIF($A$25:$A220,'!'!$GJ$14))</f>
        <v>0</v>
      </c>
      <c r="C220" s="365"/>
      <c r="D220" s="328"/>
      <c r="E220" s="329"/>
      <c r="F220" s="329"/>
      <c r="G220" s="329"/>
      <c r="H220" s="364"/>
      <c r="I220" s="339" t="str">
        <f>IF(OR(VLOOKUP(C220,'!'!$GU$24:$HE$390,'!'!HE$17,FALSE)&gt;'!'!$GL$8,VLOOKUP(C220,'!'!$GU$24:$HE$390,'!'!HE$17,FALSE)&lt;'!'!$GL$7+1),"",$I$12)</f>
        <v/>
      </c>
      <c r="J220" s="357">
        <f>IF(Report!$G$4=C220,1,IF(Report!$H$4=C220,1,0))</f>
        <v>0</v>
      </c>
      <c r="K220" s="358">
        <f>SUM($J$25:J220)</f>
        <v>0</v>
      </c>
      <c r="L220" s="359"/>
    </row>
    <row r="221" spans="1:12" x14ac:dyDescent="0.35">
      <c r="A221" s="340" t="str">
        <f>IF(OR(C221&gt;Report!$H$4,C221&lt;Report!$G$4),"",IF(OR(J221*K221=1,K221-J221=1),'!'!$GJ$14,""))</f>
        <v/>
      </c>
      <c r="B221" s="332">
        <f>IF(A221="",0,COUNTIF($A$25:$A221,'!'!$GJ$14))</f>
        <v>0</v>
      </c>
      <c r="C221" s="365"/>
      <c r="D221" s="328"/>
      <c r="E221" s="329"/>
      <c r="F221" s="329"/>
      <c r="G221" s="329"/>
      <c r="H221" s="364"/>
      <c r="I221" s="339" t="str">
        <f>IF(OR(VLOOKUP(C221,'!'!$GU$24:$HE$390,'!'!HE$17,FALSE)&gt;'!'!$GL$8,VLOOKUP(C221,'!'!$GU$24:$HE$390,'!'!HE$17,FALSE)&lt;'!'!$GL$7+1),"",$I$12)</f>
        <v/>
      </c>
      <c r="J221" s="357">
        <f>IF(Report!$G$4=C221,1,IF(Report!$H$4=C221,1,0))</f>
        <v>0</v>
      </c>
      <c r="K221" s="358">
        <f>SUM($J$25:J221)</f>
        <v>0</v>
      </c>
      <c r="L221" s="359"/>
    </row>
    <row r="222" spans="1:12" x14ac:dyDescent="0.35">
      <c r="A222" s="340" t="str">
        <f>IF(OR(C222&gt;Report!$H$4,C222&lt;Report!$G$4),"",IF(OR(J222*K222=1,K222-J222=1),'!'!$GJ$14,""))</f>
        <v/>
      </c>
      <c r="B222" s="332">
        <f>IF(A222="",0,COUNTIF($A$25:$A222,'!'!$GJ$14))</f>
        <v>0</v>
      </c>
      <c r="C222" s="365"/>
      <c r="D222" s="328"/>
      <c r="E222" s="329"/>
      <c r="F222" s="329"/>
      <c r="G222" s="329"/>
      <c r="H222" s="364"/>
      <c r="I222" s="339" t="str">
        <f>IF(OR(VLOOKUP(C222,'!'!$GU$24:$HE$390,'!'!HE$17,FALSE)&gt;'!'!$GL$8,VLOOKUP(C222,'!'!$GU$24:$HE$390,'!'!HE$17,FALSE)&lt;'!'!$GL$7+1),"",$I$12)</f>
        <v/>
      </c>
      <c r="J222" s="357">
        <f>IF(Report!$G$4=C222,1,IF(Report!$H$4=C222,1,0))</f>
        <v>0</v>
      </c>
      <c r="K222" s="358">
        <f>SUM($J$25:J222)</f>
        <v>0</v>
      </c>
      <c r="L222" s="359"/>
    </row>
    <row r="223" spans="1:12" x14ac:dyDescent="0.35">
      <c r="A223" s="340" t="str">
        <f>IF(OR(C223&gt;Report!$H$4,C223&lt;Report!$G$4),"",IF(OR(J223*K223=1,K223-J223=1),'!'!$GJ$14,""))</f>
        <v/>
      </c>
      <c r="B223" s="332">
        <f>IF(A223="",0,COUNTIF($A$25:$A223,'!'!$GJ$14))</f>
        <v>0</v>
      </c>
      <c r="C223" s="365"/>
      <c r="D223" s="328"/>
      <c r="E223" s="329"/>
      <c r="F223" s="329"/>
      <c r="G223" s="329"/>
      <c r="H223" s="364"/>
      <c r="I223" s="339" t="str">
        <f>IF(OR(VLOOKUP(C223,'!'!$GU$24:$HE$390,'!'!HE$17,FALSE)&gt;'!'!$GL$8,VLOOKUP(C223,'!'!$GU$24:$HE$390,'!'!HE$17,FALSE)&lt;'!'!$GL$7+1),"",$I$12)</f>
        <v/>
      </c>
      <c r="J223" s="357">
        <f>IF(Report!$G$4=C223,1,IF(Report!$H$4=C223,1,0))</f>
        <v>0</v>
      </c>
      <c r="K223" s="358">
        <f>SUM($J$25:J223)</f>
        <v>0</v>
      </c>
      <c r="L223" s="359"/>
    </row>
    <row r="224" spans="1:12" x14ac:dyDescent="0.35">
      <c r="A224" s="340" t="str">
        <f>IF(OR(C224&gt;Report!$H$4,C224&lt;Report!$G$4),"",IF(OR(J224*K224=1,K224-J224=1),'!'!$GJ$14,""))</f>
        <v/>
      </c>
      <c r="B224" s="332">
        <f>IF(A224="",0,COUNTIF($A$25:$A224,'!'!$GJ$14))</f>
        <v>0</v>
      </c>
      <c r="C224" s="365"/>
      <c r="D224" s="328"/>
      <c r="E224" s="329"/>
      <c r="F224" s="329"/>
      <c r="G224" s="329"/>
      <c r="H224" s="364"/>
      <c r="I224" s="339" t="str">
        <f>IF(OR(VLOOKUP(C224,'!'!$GU$24:$HE$390,'!'!HE$17,FALSE)&gt;'!'!$GL$8,VLOOKUP(C224,'!'!$GU$24:$HE$390,'!'!HE$17,FALSE)&lt;'!'!$GL$7+1),"",$I$12)</f>
        <v/>
      </c>
      <c r="J224" s="357">
        <f>IF(Report!$G$4=C224,1,IF(Report!$H$4=C224,1,0))</f>
        <v>0</v>
      </c>
      <c r="K224" s="358">
        <f>SUM($J$25:J224)</f>
        <v>0</v>
      </c>
      <c r="L224" s="359"/>
    </row>
    <row r="225" spans="1:12" x14ac:dyDescent="0.35">
      <c r="A225" s="340" t="str">
        <f>IF(OR(C225&gt;Report!$H$4,C225&lt;Report!$G$4),"",IF(OR(J225*K225=1,K225-J225=1),'!'!$GJ$14,""))</f>
        <v/>
      </c>
      <c r="B225" s="332">
        <f>IF(A225="",0,COUNTIF($A$25:$A225,'!'!$GJ$14))</f>
        <v>0</v>
      </c>
      <c r="C225" s="365"/>
      <c r="D225" s="328"/>
      <c r="E225" s="329"/>
      <c r="F225" s="329"/>
      <c r="G225" s="329"/>
      <c r="H225" s="364"/>
      <c r="I225" s="339" t="str">
        <f>IF(OR(VLOOKUP(C225,'!'!$GU$24:$HE$390,'!'!HE$17,FALSE)&gt;'!'!$GL$8,VLOOKUP(C225,'!'!$GU$24:$HE$390,'!'!HE$17,FALSE)&lt;'!'!$GL$7+1),"",$I$12)</f>
        <v/>
      </c>
      <c r="J225" s="357">
        <f>IF(Report!$G$4=C225,1,IF(Report!$H$4=C225,1,0))</f>
        <v>0</v>
      </c>
      <c r="K225" s="358">
        <f>SUM($J$25:J225)</f>
        <v>0</v>
      </c>
      <c r="L225" s="359"/>
    </row>
    <row r="226" spans="1:12" x14ac:dyDescent="0.35">
      <c r="A226" s="340" t="str">
        <f>IF(OR(C226&gt;Report!$H$4,C226&lt;Report!$G$4),"",IF(OR(J226*K226=1,K226-J226=1),'!'!$GJ$14,""))</f>
        <v/>
      </c>
      <c r="B226" s="332">
        <f>IF(A226="",0,COUNTIF($A$25:$A226,'!'!$GJ$14))</f>
        <v>0</v>
      </c>
      <c r="C226" s="365"/>
      <c r="D226" s="328"/>
      <c r="E226" s="329"/>
      <c r="F226" s="329"/>
      <c r="G226" s="329"/>
      <c r="H226" s="364"/>
      <c r="I226" s="339" t="str">
        <f>IF(OR(VLOOKUP(C226,'!'!$GU$24:$HE$390,'!'!HE$17,FALSE)&gt;'!'!$GL$8,VLOOKUP(C226,'!'!$GU$24:$HE$390,'!'!HE$17,FALSE)&lt;'!'!$GL$7+1),"",$I$12)</f>
        <v/>
      </c>
      <c r="J226" s="357">
        <f>IF(Report!$G$4=C226,1,IF(Report!$H$4=C226,1,0))</f>
        <v>0</v>
      </c>
      <c r="K226" s="358">
        <f>SUM($J$25:J226)</f>
        <v>0</v>
      </c>
      <c r="L226" s="359"/>
    </row>
    <row r="227" spans="1:12" x14ac:dyDescent="0.35">
      <c r="A227" s="340" t="str">
        <f>IF(OR(C227&gt;Report!$H$4,C227&lt;Report!$G$4),"",IF(OR(J227*K227=1,K227-J227=1),'!'!$GJ$14,""))</f>
        <v/>
      </c>
      <c r="B227" s="332">
        <f>IF(A227="",0,COUNTIF($A$25:$A227,'!'!$GJ$14))</f>
        <v>0</v>
      </c>
      <c r="C227" s="365"/>
      <c r="D227" s="328"/>
      <c r="E227" s="329"/>
      <c r="F227" s="329"/>
      <c r="G227" s="329"/>
      <c r="H227" s="364"/>
      <c r="I227" s="339" t="str">
        <f>IF(OR(VLOOKUP(C227,'!'!$GU$24:$HE$390,'!'!HE$17,FALSE)&gt;'!'!$GL$8,VLOOKUP(C227,'!'!$GU$24:$HE$390,'!'!HE$17,FALSE)&lt;'!'!$GL$7+1),"",$I$12)</f>
        <v/>
      </c>
      <c r="J227" s="357">
        <f>IF(Report!$G$4=C227,1,IF(Report!$H$4=C227,1,0))</f>
        <v>0</v>
      </c>
      <c r="K227" s="358">
        <f>SUM($J$25:J227)</f>
        <v>0</v>
      </c>
      <c r="L227" s="359"/>
    </row>
    <row r="228" spans="1:12" x14ac:dyDescent="0.35">
      <c r="A228" s="340" t="str">
        <f>IF(OR(C228&gt;Report!$H$4,C228&lt;Report!$G$4),"",IF(OR(J228*K228=1,K228-J228=1),'!'!$GJ$14,""))</f>
        <v/>
      </c>
      <c r="B228" s="332">
        <f>IF(A228="",0,COUNTIF($A$25:$A228,'!'!$GJ$14))</f>
        <v>0</v>
      </c>
      <c r="C228" s="365"/>
      <c r="D228" s="328"/>
      <c r="E228" s="329"/>
      <c r="F228" s="329"/>
      <c r="G228" s="329"/>
      <c r="H228" s="364"/>
      <c r="I228" s="339" t="str">
        <f>IF(OR(VLOOKUP(C228,'!'!$GU$24:$HE$390,'!'!HE$17,FALSE)&gt;'!'!$GL$8,VLOOKUP(C228,'!'!$GU$24:$HE$390,'!'!HE$17,FALSE)&lt;'!'!$GL$7+1),"",$I$12)</f>
        <v/>
      </c>
      <c r="J228" s="357">
        <f>IF(Report!$G$4=C228,1,IF(Report!$H$4=C228,1,0))</f>
        <v>0</v>
      </c>
      <c r="K228" s="358">
        <f>SUM($J$25:J228)</f>
        <v>0</v>
      </c>
      <c r="L228" s="359"/>
    </row>
    <row r="229" spans="1:12" x14ac:dyDescent="0.35">
      <c r="A229" s="340" t="str">
        <f>IF(OR(C229&gt;Report!$H$4,C229&lt;Report!$G$4),"",IF(OR(J229*K229=1,K229-J229=1),'!'!$GJ$14,""))</f>
        <v/>
      </c>
      <c r="B229" s="332">
        <f>IF(A229="",0,COUNTIF($A$25:$A229,'!'!$GJ$14))</f>
        <v>0</v>
      </c>
      <c r="C229" s="365"/>
      <c r="D229" s="328"/>
      <c r="E229" s="329"/>
      <c r="F229" s="329"/>
      <c r="G229" s="329"/>
      <c r="H229" s="364"/>
      <c r="I229" s="339" t="str">
        <f>IF(OR(VLOOKUP(C229,'!'!$GU$24:$HE$390,'!'!HE$17,FALSE)&gt;'!'!$GL$8,VLOOKUP(C229,'!'!$GU$24:$HE$390,'!'!HE$17,FALSE)&lt;'!'!$GL$7+1),"",$I$12)</f>
        <v/>
      </c>
      <c r="J229" s="357">
        <f>IF(Report!$G$4=C229,1,IF(Report!$H$4=C229,1,0))</f>
        <v>0</v>
      </c>
      <c r="K229" s="358">
        <f>SUM($J$25:J229)</f>
        <v>0</v>
      </c>
      <c r="L229" s="359"/>
    </row>
    <row r="230" spans="1:12" x14ac:dyDescent="0.35">
      <c r="A230" s="340" t="str">
        <f>IF(OR(C230&gt;Report!$H$4,C230&lt;Report!$G$4),"",IF(OR(J230*K230=1,K230-J230=1),'!'!$GJ$14,""))</f>
        <v/>
      </c>
      <c r="B230" s="332">
        <f>IF(A230="",0,COUNTIF($A$25:$A230,'!'!$GJ$14))</f>
        <v>0</v>
      </c>
      <c r="C230" s="365"/>
      <c r="D230" s="328"/>
      <c r="E230" s="329"/>
      <c r="F230" s="329"/>
      <c r="G230" s="329"/>
      <c r="H230" s="364"/>
      <c r="I230" s="339" t="str">
        <f>IF(OR(VLOOKUP(C230,'!'!$GU$24:$HE$390,'!'!HE$17,FALSE)&gt;'!'!$GL$8,VLOOKUP(C230,'!'!$GU$24:$HE$390,'!'!HE$17,FALSE)&lt;'!'!$GL$7+1),"",$I$12)</f>
        <v/>
      </c>
      <c r="J230" s="357">
        <f>IF(Report!$G$4=C230,1,IF(Report!$H$4=C230,1,0))</f>
        <v>0</v>
      </c>
      <c r="K230" s="358">
        <f>SUM($J$25:J230)</f>
        <v>0</v>
      </c>
      <c r="L230" s="359"/>
    </row>
    <row r="231" spans="1:12" x14ac:dyDescent="0.35">
      <c r="A231" s="340" t="str">
        <f>IF(OR(C231&gt;Report!$H$4,C231&lt;Report!$G$4),"",IF(OR(J231*K231=1,K231-J231=1),'!'!$GJ$14,""))</f>
        <v/>
      </c>
      <c r="B231" s="332">
        <f>IF(A231="",0,COUNTIF($A$25:$A231,'!'!$GJ$14))</f>
        <v>0</v>
      </c>
      <c r="C231" s="365"/>
      <c r="D231" s="328"/>
      <c r="E231" s="329"/>
      <c r="F231" s="329"/>
      <c r="G231" s="329"/>
      <c r="H231" s="364"/>
      <c r="I231" s="339" t="str">
        <f>IF(OR(VLOOKUP(C231,'!'!$GU$24:$HE$390,'!'!HE$17,FALSE)&gt;'!'!$GL$8,VLOOKUP(C231,'!'!$GU$24:$HE$390,'!'!HE$17,FALSE)&lt;'!'!$GL$7+1),"",$I$12)</f>
        <v/>
      </c>
      <c r="J231" s="357">
        <f>IF(Report!$G$4=C231,1,IF(Report!$H$4=C231,1,0))</f>
        <v>0</v>
      </c>
      <c r="K231" s="358">
        <f>SUM($J$25:J231)</f>
        <v>0</v>
      </c>
      <c r="L231" s="359"/>
    </row>
    <row r="232" spans="1:12" x14ac:dyDescent="0.35">
      <c r="A232" s="340" t="str">
        <f>IF(OR(C232&gt;Report!$H$4,C232&lt;Report!$G$4),"",IF(OR(J232*K232=1,K232-J232=1),'!'!$GJ$14,""))</f>
        <v/>
      </c>
      <c r="B232" s="332">
        <f>IF(A232="",0,COUNTIF($A$25:$A232,'!'!$GJ$14))</f>
        <v>0</v>
      </c>
      <c r="C232" s="365"/>
      <c r="D232" s="328"/>
      <c r="E232" s="329"/>
      <c r="F232" s="329"/>
      <c r="G232" s="329"/>
      <c r="H232" s="364"/>
      <c r="I232" s="339" t="str">
        <f>IF(OR(VLOOKUP(C232,'!'!$GU$24:$HE$390,'!'!HE$17,FALSE)&gt;'!'!$GL$8,VLOOKUP(C232,'!'!$GU$24:$HE$390,'!'!HE$17,FALSE)&lt;'!'!$GL$7+1),"",$I$12)</f>
        <v/>
      </c>
      <c r="J232" s="357">
        <f>IF(Report!$G$4=C232,1,IF(Report!$H$4=C232,1,0))</f>
        <v>0</v>
      </c>
      <c r="K232" s="358">
        <f>SUM($J$25:J232)</f>
        <v>0</v>
      </c>
      <c r="L232" s="359"/>
    </row>
    <row r="233" spans="1:12" x14ac:dyDescent="0.35">
      <c r="A233" s="340" t="str">
        <f>IF(OR(C233&gt;Report!$H$4,C233&lt;Report!$G$4),"",IF(OR(J233*K233=1,K233-J233=1),'!'!$GJ$14,""))</f>
        <v/>
      </c>
      <c r="B233" s="332">
        <f>IF(A233="",0,COUNTIF($A$25:$A233,'!'!$GJ$14))</f>
        <v>0</v>
      </c>
      <c r="C233" s="365"/>
      <c r="D233" s="328"/>
      <c r="E233" s="329"/>
      <c r="F233" s="329"/>
      <c r="G233" s="329"/>
      <c r="H233" s="364"/>
      <c r="I233" s="339" t="str">
        <f>IF(OR(VLOOKUP(C233,'!'!$GU$24:$HE$390,'!'!HE$17,FALSE)&gt;'!'!$GL$8,VLOOKUP(C233,'!'!$GU$24:$HE$390,'!'!HE$17,FALSE)&lt;'!'!$GL$7+1),"",$I$12)</f>
        <v/>
      </c>
      <c r="J233" s="357">
        <f>IF(Report!$G$4=C233,1,IF(Report!$H$4=C233,1,0))</f>
        <v>0</v>
      </c>
      <c r="K233" s="358">
        <f>SUM($J$25:J233)</f>
        <v>0</v>
      </c>
      <c r="L233" s="359"/>
    </row>
    <row r="234" spans="1:12" x14ac:dyDescent="0.35">
      <c r="A234" s="340" t="str">
        <f>IF(OR(C234&gt;Report!$H$4,C234&lt;Report!$G$4),"",IF(OR(J234*K234=1,K234-J234=1),'!'!$GJ$14,""))</f>
        <v/>
      </c>
      <c r="B234" s="332">
        <f>IF(A234="",0,COUNTIF($A$25:$A234,'!'!$GJ$14))</f>
        <v>0</v>
      </c>
      <c r="C234" s="365"/>
      <c r="D234" s="328"/>
      <c r="E234" s="329"/>
      <c r="F234" s="329"/>
      <c r="G234" s="329"/>
      <c r="H234" s="364"/>
      <c r="I234" s="339" t="str">
        <f>IF(OR(VLOOKUP(C234,'!'!$GU$24:$HE$390,'!'!HE$17,FALSE)&gt;'!'!$GL$8,VLOOKUP(C234,'!'!$GU$24:$HE$390,'!'!HE$17,FALSE)&lt;'!'!$GL$7+1),"",$I$12)</f>
        <v/>
      </c>
      <c r="J234" s="357">
        <f>IF(Report!$G$4=C234,1,IF(Report!$H$4=C234,1,0))</f>
        <v>0</v>
      </c>
      <c r="K234" s="358">
        <f>SUM($J$25:J234)</f>
        <v>0</v>
      </c>
      <c r="L234" s="359"/>
    </row>
    <row r="235" spans="1:12" x14ac:dyDescent="0.35">
      <c r="A235" s="340" t="str">
        <f>IF(OR(C235&gt;Report!$H$4,C235&lt;Report!$G$4),"",IF(OR(J235*K235=1,K235-J235=1),'!'!$GJ$14,""))</f>
        <v/>
      </c>
      <c r="B235" s="332">
        <f>IF(A235="",0,COUNTIF($A$25:$A235,'!'!$GJ$14))</f>
        <v>0</v>
      </c>
      <c r="C235" s="365"/>
      <c r="D235" s="328"/>
      <c r="E235" s="329"/>
      <c r="F235" s="329"/>
      <c r="G235" s="329"/>
      <c r="H235" s="364"/>
      <c r="I235" s="339" t="str">
        <f>IF(OR(VLOOKUP(C235,'!'!$GU$24:$HE$390,'!'!HE$17,FALSE)&gt;'!'!$GL$8,VLOOKUP(C235,'!'!$GU$24:$HE$390,'!'!HE$17,FALSE)&lt;'!'!$GL$7+1),"",$I$12)</f>
        <v/>
      </c>
      <c r="J235" s="357">
        <f>IF(Report!$G$4=C235,1,IF(Report!$H$4=C235,1,0))</f>
        <v>0</v>
      </c>
      <c r="K235" s="358">
        <f>SUM($J$25:J235)</f>
        <v>0</v>
      </c>
      <c r="L235" s="359"/>
    </row>
    <row r="236" spans="1:12" x14ac:dyDescent="0.35">
      <c r="A236" s="340" t="str">
        <f>IF(OR(C236&gt;Report!$H$4,C236&lt;Report!$G$4),"",IF(OR(J236*K236=1,K236-J236=1),'!'!$GJ$14,""))</f>
        <v/>
      </c>
      <c r="B236" s="332">
        <f>IF(A236="",0,COUNTIF($A$25:$A236,'!'!$GJ$14))</f>
        <v>0</v>
      </c>
      <c r="C236" s="365"/>
      <c r="D236" s="328"/>
      <c r="E236" s="329"/>
      <c r="F236" s="329"/>
      <c r="G236" s="329"/>
      <c r="H236" s="364"/>
      <c r="I236" s="339" t="str">
        <f>IF(OR(VLOOKUP(C236,'!'!$GU$24:$HE$390,'!'!HE$17,FALSE)&gt;'!'!$GL$8,VLOOKUP(C236,'!'!$GU$24:$HE$390,'!'!HE$17,FALSE)&lt;'!'!$GL$7+1),"",$I$12)</f>
        <v/>
      </c>
      <c r="J236" s="357">
        <f>IF(Report!$G$4=C236,1,IF(Report!$H$4=C236,1,0))</f>
        <v>0</v>
      </c>
      <c r="K236" s="358">
        <f>SUM($J$25:J236)</f>
        <v>0</v>
      </c>
      <c r="L236" s="359"/>
    </row>
    <row r="237" spans="1:12" x14ac:dyDescent="0.35">
      <c r="A237" s="340" t="str">
        <f>IF(OR(C237&gt;Report!$H$4,C237&lt;Report!$G$4),"",IF(OR(J237*K237=1,K237-J237=1),'!'!$GJ$14,""))</f>
        <v/>
      </c>
      <c r="B237" s="332">
        <f>IF(A237="",0,COUNTIF($A$25:$A237,'!'!$GJ$14))</f>
        <v>0</v>
      </c>
      <c r="C237" s="365"/>
      <c r="D237" s="328"/>
      <c r="E237" s="329"/>
      <c r="F237" s="329"/>
      <c r="G237" s="329"/>
      <c r="H237" s="364"/>
      <c r="I237" s="339" t="str">
        <f>IF(OR(VLOOKUP(C237,'!'!$GU$24:$HE$390,'!'!HE$17,FALSE)&gt;'!'!$GL$8,VLOOKUP(C237,'!'!$GU$24:$HE$390,'!'!HE$17,FALSE)&lt;'!'!$GL$7+1),"",$I$12)</f>
        <v/>
      </c>
      <c r="J237" s="357">
        <f>IF(Report!$G$4=C237,1,IF(Report!$H$4=C237,1,0))</f>
        <v>0</v>
      </c>
      <c r="K237" s="358">
        <f>SUM($J$25:J237)</f>
        <v>0</v>
      </c>
      <c r="L237" s="359"/>
    </row>
    <row r="238" spans="1:12" x14ac:dyDescent="0.35">
      <c r="A238" s="340" t="str">
        <f>IF(OR(C238&gt;Report!$H$4,C238&lt;Report!$G$4),"",IF(OR(J238*K238=1,K238-J238=1),'!'!$GJ$14,""))</f>
        <v/>
      </c>
      <c r="B238" s="332">
        <f>IF(A238="",0,COUNTIF($A$25:$A238,'!'!$GJ$14))</f>
        <v>0</v>
      </c>
      <c r="C238" s="365"/>
      <c r="D238" s="328"/>
      <c r="E238" s="329"/>
      <c r="F238" s="329"/>
      <c r="G238" s="329"/>
      <c r="H238" s="364"/>
      <c r="I238" s="339" t="str">
        <f>IF(OR(VLOOKUP(C238,'!'!$GU$24:$HE$390,'!'!HE$17,FALSE)&gt;'!'!$GL$8,VLOOKUP(C238,'!'!$GU$24:$HE$390,'!'!HE$17,FALSE)&lt;'!'!$GL$7+1),"",$I$12)</f>
        <v/>
      </c>
      <c r="J238" s="357">
        <f>IF(Report!$G$4=C238,1,IF(Report!$H$4=C238,1,0))</f>
        <v>0</v>
      </c>
      <c r="K238" s="358">
        <f>SUM($J$25:J238)</f>
        <v>0</v>
      </c>
      <c r="L238" s="359"/>
    </row>
    <row r="239" spans="1:12" x14ac:dyDescent="0.35">
      <c r="A239" s="340" t="str">
        <f>IF(OR(C239&gt;Report!$H$4,C239&lt;Report!$G$4),"",IF(OR(J239*K239=1,K239-J239=1),'!'!$GJ$14,""))</f>
        <v/>
      </c>
      <c r="B239" s="332">
        <f>IF(A239="",0,COUNTIF($A$25:$A239,'!'!$GJ$14))</f>
        <v>0</v>
      </c>
      <c r="C239" s="365"/>
      <c r="D239" s="328"/>
      <c r="E239" s="329"/>
      <c r="F239" s="329"/>
      <c r="G239" s="329"/>
      <c r="H239" s="364"/>
      <c r="I239" s="339" t="str">
        <f>IF(OR(VLOOKUP(C239,'!'!$GU$24:$HE$390,'!'!HE$17,FALSE)&gt;'!'!$GL$8,VLOOKUP(C239,'!'!$GU$24:$HE$390,'!'!HE$17,FALSE)&lt;'!'!$GL$7+1),"",$I$12)</f>
        <v/>
      </c>
      <c r="J239" s="357">
        <f>IF(Report!$G$4=C239,1,IF(Report!$H$4=C239,1,0))</f>
        <v>0</v>
      </c>
      <c r="K239" s="358">
        <f>SUM($J$25:J239)</f>
        <v>0</v>
      </c>
      <c r="L239" s="359"/>
    </row>
    <row r="240" spans="1:12" x14ac:dyDescent="0.35">
      <c r="A240" s="340" t="str">
        <f>IF(OR(C240&gt;Report!$H$4,C240&lt;Report!$G$4),"",IF(OR(J240*K240=1,K240-J240=1),'!'!$GJ$14,""))</f>
        <v/>
      </c>
      <c r="B240" s="332">
        <f>IF(A240="",0,COUNTIF($A$25:$A240,'!'!$GJ$14))</f>
        <v>0</v>
      </c>
      <c r="C240" s="330"/>
      <c r="D240" s="328"/>
      <c r="E240" s="329"/>
      <c r="F240" s="329"/>
      <c r="G240" s="329"/>
      <c r="H240" s="329"/>
      <c r="I240" s="339" t="str">
        <f>IF(OR(VLOOKUP(C240,'!'!$GU$24:$HE$390,'!'!HE$17,FALSE)&gt;'!'!$GL$8,VLOOKUP(C240,'!'!$GU$24:$HE$390,'!'!HE$17,FALSE)&lt;'!'!$GL$7+1),"",$I$12)</f>
        <v/>
      </c>
      <c r="J240" s="357">
        <f>IF(Report!$G$4=C240,1,IF(Report!$H$4=C240,1,0))</f>
        <v>0</v>
      </c>
      <c r="K240" s="358">
        <f>SUM($J$25:J240)</f>
        <v>0</v>
      </c>
      <c r="L240" s="359"/>
    </row>
    <row r="241" spans="1:12" x14ac:dyDescent="0.35">
      <c r="A241" s="340" t="str">
        <f>IF(OR(C241&gt;Report!$H$4,C241&lt;Report!$G$4),"",IF(OR(J241*K241=1,K241-J241=1),'!'!$GJ$14,""))</f>
        <v/>
      </c>
      <c r="B241" s="332">
        <f>IF(A241="",0,COUNTIF($A$25:$A241,'!'!$GJ$14))</f>
        <v>0</v>
      </c>
      <c r="C241" s="330"/>
      <c r="D241" s="328"/>
      <c r="E241" s="329"/>
      <c r="F241" s="329"/>
      <c r="G241" s="329"/>
      <c r="H241" s="329"/>
      <c r="I241" s="339" t="str">
        <f>IF(OR(VLOOKUP(C241,'!'!$GU$24:$HE$390,'!'!HE$17,FALSE)&gt;'!'!$GL$8,VLOOKUP(C241,'!'!$GU$24:$HE$390,'!'!HE$17,FALSE)&lt;'!'!$GL$7+1),"",$I$12)</f>
        <v/>
      </c>
      <c r="J241" s="357">
        <f>IF(Report!$G$4=C241,1,IF(Report!$H$4=C241,1,0))</f>
        <v>0</v>
      </c>
      <c r="K241" s="358">
        <f>SUM($J$25:J241)</f>
        <v>0</v>
      </c>
      <c r="L241" s="359"/>
    </row>
    <row r="242" spans="1:12" x14ac:dyDescent="0.35">
      <c r="A242" s="340" t="str">
        <f>IF(OR(C242&gt;Report!$H$4,C242&lt;Report!$G$4),"",IF(OR(J242*K242=1,K242-J242=1),'!'!$GJ$14,""))</f>
        <v/>
      </c>
      <c r="B242" s="332">
        <f>IF(A242="",0,COUNTIF($A$25:$A242,'!'!$GJ$14))</f>
        <v>0</v>
      </c>
      <c r="C242" s="330"/>
      <c r="D242" s="328"/>
      <c r="E242" s="329"/>
      <c r="F242" s="329"/>
      <c r="G242" s="329"/>
      <c r="H242" s="329"/>
      <c r="I242" s="339" t="str">
        <f>IF(OR(VLOOKUP(C242,'!'!$GU$24:$HE$390,'!'!HE$17,FALSE)&gt;'!'!$GL$8,VLOOKUP(C242,'!'!$GU$24:$HE$390,'!'!HE$17,FALSE)&lt;'!'!$GL$7+1),"",$I$12)</f>
        <v/>
      </c>
      <c r="J242" s="357">
        <f>IF(Report!$G$4=C242,1,IF(Report!$H$4=C242,1,0))</f>
        <v>0</v>
      </c>
      <c r="K242" s="358">
        <f>SUM($J$25:J242)</f>
        <v>0</v>
      </c>
      <c r="L242" s="359"/>
    </row>
    <row r="243" spans="1:12" x14ac:dyDescent="0.35">
      <c r="A243" s="340" t="str">
        <f>IF(OR(C243&gt;Report!$H$4,C243&lt;Report!$G$4),"",IF(OR(J243*K243=1,K243-J243=1),'!'!$GJ$14,""))</f>
        <v/>
      </c>
      <c r="B243" s="332">
        <f>IF(A243="",0,COUNTIF($A$25:$A243,'!'!$GJ$14))</f>
        <v>0</v>
      </c>
      <c r="C243" s="330"/>
      <c r="D243" s="328"/>
      <c r="E243" s="329"/>
      <c r="F243" s="329"/>
      <c r="G243" s="329"/>
      <c r="H243" s="329"/>
      <c r="I243" s="339" t="str">
        <f>IF(OR(VLOOKUP(C243,'!'!$GU$24:$HE$390,'!'!HE$17,FALSE)&gt;'!'!$GL$8,VLOOKUP(C243,'!'!$GU$24:$HE$390,'!'!HE$17,FALSE)&lt;'!'!$GL$7+1),"",$I$12)</f>
        <v/>
      </c>
      <c r="J243" s="357">
        <f>IF(Report!$G$4=C243,1,IF(Report!$H$4=C243,1,0))</f>
        <v>0</v>
      </c>
      <c r="K243" s="358">
        <f>SUM($J$25:J243)</f>
        <v>0</v>
      </c>
      <c r="L243" s="359"/>
    </row>
    <row r="244" spans="1:12" x14ac:dyDescent="0.35">
      <c r="A244" s="340" t="str">
        <f>IF(OR(C244&gt;Report!$H$4,C244&lt;Report!$G$4),"",IF(OR(J244*K244=1,K244-J244=1),'!'!$GJ$14,""))</f>
        <v/>
      </c>
      <c r="B244" s="332">
        <f>IF(A244="",0,COUNTIF($A$25:$A244,'!'!$GJ$14))</f>
        <v>0</v>
      </c>
      <c r="C244" s="330"/>
      <c r="D244" s="328"/>
      <c r="E244" s="329"/>
      <c r="F244" s="329"/>
      <c r="G244" s="329"/>
      <c r="H244" s="329"/>
      <c r="I244" s="339" t="str">
        <f>IF(OR(VLOOKUP(C244,'!'!$GU$24:$HE$390,'!'!HE$17,FALSE)&gt;'!'!$GL$8,VLOOKUP(C244,'!'!$GU$24:$HE$390,'!'!HE$17,FALSE)&lt;'!'!$GL$7+1),"",$I$12)</f>
        <v/>
      </c>
      <c r="J244" s="357">
        <f>IF(Report!$G$4=C244,1,IF(Report!$H$4=C244,1,0))</f>
        <v>0</v>
      </c>
      <c r="K244" s="358">
        <f>SUM($J$25:J244)</f>
        <v>0</v>
      </c>
      <c r="L244" s="359"/>
    </row>
    <row r="245" spans="1:12" x14ac:dyDescent="0.35">
      <c r="A245" s="340" t="str">
        <f>IF(OR(C245&gt;Report!$H$4,C245&lt;Report!$G$4),"",IF(OR(J245*K245=1,K245-J245=1),'!'!$GJ$14,""))</f>
        <v/>
      </c>
      <c r="B245" s="332">
        <f>IF(A245="",0,COUNTIF($A$25:$A245,'!'!$GJ$14))</f>
        <v>0</v>
      </c>
      <c r="C245" s="330"/>
      <c r="D245" s="328"/>
      <c r="E245" s="329"/>
      <c r="F245" s="329"/>
      <c r="G245" s="329"/>
      <c r="H245" s="329"/>
      <c r="I245" s="339" t="str">
        <f>IF(OR(VLOOKUP(C245,'!'!$GU$24:$HE$390,'!'!HE$17,FALSE)&gt;'!'!$GL$8,VLOOKUP(C245,'!'!$GU$24:$HE$390,'!'!HE$17,FALSE)&lt;'!'!$GL$7+1),"",$I$12)</f>
        <v/>
      </c>
      <c r="J245" s="357">
        <f>IF(Report!$G$4=C245,1,IF(Report!$H$4=C245,1,0))</f>
        <v>0</v>
      </c>
      <c r="K245" s="358">
        <f>SUM($J$25:J245)</f>
        <v>0</v>
      </c>
      <c r="L245" s="359"/>
    </row>
    <row r="246" spans="1:12" x14ac:dyDescent="0.35">
      <c r="A246" s="340" t="str">
        <f>IF(OR(C246&gt;Report!$H$4,C246&lt;Report!$G$4),"",IF(OR(J246*K246=1,K246-J246=1),'!'!$GJ$14,""))</f>
        <v/>
      </c>
      <c r="B246" s="332">
        <f>IF(A246="",0,COUNTIF($A$25:$A246,'!'!$GJ$14))</f>
        <v>0</v>
      </c>
      <c r="C246" s="330"/>
      <c r="D246" s="328"/>
      <c r="E246" s="329"/>
      <c r="F246" s="329"/>
      <c r="G246" s="329"/>
      <c r="H246" s="329"/>
      <c r="I246" s="339" t="str">
        <f>IF(OR(VLOOKUP(C246,'!'!$GU$24:$HE$390,'!'!HE$17,FALSE)&gt;'!'!$GL$8,VLOOKUP(C246,'!'!$GU$24:$HE$390,'!'!HE$17,FALSE)&lt;'!'!$GL$7+1),"",$I$12)</f>
        <v/>
      </c>
      <c r="J246" s="357">
        <f>IF(Report!$G$4=C246,1,IF(Report!$H$4=C246,1,0))</f>
        <v>0</v>
      </c>
      <c r="K246" s="358">
        <f>SUM($J$25:J246)</f>
        <v>0</v>
      </c>
      <c r="L246" s="359"/>
    </row>
    <row r="247" spans="1:12" x14ac:dyDescent="0.35">
      <c r="A247" s="340" t="str">
        <f>IF(OR(C247&gt;Report!$H$4,C247&lt;Report!$G$4),"",IF(OR(J247*K247=1,K247-J247=1),'!'!$GJ$14,""))</f>
        <v/>
      </c>
      <c r="B247" s="332">
        <f>IF(A247="",0,COUNTIF($A$25:$A247,'!'!$GJ$14))</f>
        <v>0</v>
      </c>
      <c r="C247" s="330"/>
      <c r="D247" s="328"/>
      <c r="E247" s="329"/>
      <c r="F247" s="329"/>
      <c r="G247" s="329"/>
      <c r="H247" s="329"/>
      <c r="I247" s="339" t="str">
        <f>IF(OR(VLOOKUP(C247,'!'!$GU$24:$HE$390,'!'!HE$17,FALSE)&gt;'!'!$GL$8,VLOOKUP(C247,'!'!$GU$24:$HE$390,'!'!HE$17,FALSE)&lt;'!'!$GL$7+1),"",$I$12)</f>
        <v/>
      </c>
      <c r="J247" s="357">
        <f>IF(Report!$G$4=C247,1,IF(Report!$H$4=C247,1,0))</f>
        <v>0</v>
      </c>
      <c r="K247" s="358">
        <f>SUM($J$25:J247)</f>
        <v>0</v>
      </c>
      <c r="L247" s="359"/>
    </row>
    <row r="248" spans="1:12" x14ac:dyDescent="0.35">
      <c r="A248" s="340" t="str">
        <f>IF(OR(C248&gt;Report!$H$4,C248&lt;Report!$G$4),"",IF(OR(J248*K248=1,K248-J248=1),'!'!$GJ$14,""))</f>
        <v/>
      </c>
      <c r="B248" s="332">
        <f>IF(A248="",0,COUNTIF($A$25:$A248,'!'!$GJ$14))</f>
        <v>0</v>
      </c>
      <c r="C248" s="330"/>
      <c r="D248" s="328"/>
      <c r="E248" s="329"/>
      <c r="F248" s="329"/>
      <c r="G248" s="329"/>
      <c r="H248" s="329"/>
      <c r="I248" s="339" t="str">
        <f>IF(OR(VLOOKUP(C248,'!'!$GU$24:$HE$390,'!'!HE$17,FALSE)&gt;'!'!$GL$8,VLOOKUP(C248,'!'!$GU$24:$HE$390,'!'!HE$17,FALSE)&lt;'!'!$GL$7+1),"",$I$12)</f>
        <v/>
      </c>
      <c r="J248" s="357">
        <f>IF(Report!$G$4=C248,1,IF(Report!$H$4=C248,1,0))</f>
        <v>0</v>
      </c>
      <c r="K248" s="358">
        <f>SUM($J$25:J248)</f>
        <v>0</v>
      </c>
      <c r="L248" s="359"/>
    </row>
    <row r="249" spans="1:12" x14ac:dyDescent="0.35">
      <c r="A249" s="340" t="str">
        <f>IF(OR(C249&gt;Report!$H$4,C249&lt;Report!$G$4),"",IF(OR(J249*K249=1,K249-J249=1),'!'!$GJ$14,""))</f>
        <v/>
      </c>
      <c r="B249" s="332">
        <f>IF(A249="",0,COUNTIF($A$25:$A249,'!'!$GJ$14))</f>
        <v>0</v>
      </c>
      <c r="C249" s="330"/>
      <c r="D249" s="328"/>
      <c r="E249" s="329"/>
      <c r="F249" s="329"/>
      <c r="G249" s="329"/>
      <c r="H249" s="329"/>
      <c r="I249" s="339" t="str">
        <f>IF(OR(VLOOKUP(C249,'!'!$GU$24:$HE$390,'!'!HE$17,FALSE)&gt;'!'!$GL$8,VLOOKUP(C249,'!'!$GU$24:$HE$390,'!'!HE$17,FALSE)&lt;'!'!$GL$7+1),"",$I$12)</f>
        <v/>
      </c>
      <c r="J249" s="357">
        <f>IF(Report!$G$4=C249,1,IF(Report!$H$4=C249,1,0))</f>
        <v>0</v>
      </c>
      <c r="K249" s="358">
        <f>SUM($J$25:J249)</f>
        <v>0</v>
      </c>
      <c r="L249" s="359"/>
    </row>
    <row r="250" spans="1:12" x14ac:dyDescent="0.35">
      <c r="A250" s="340" t="str">
        <f>IF(OR(C250&gt;Report!$H$4,C250&lt;Report!$G$4),"",IF(OR(J250*K250=1,K250-J250=1),'!'!$GJ$14,""))</f>
        <v/>
      </c>
      <c r="B250" s="332">
        <f>IF(A250="",0,COUNTIF($A$25:$A250,'!'!$GJ$14))</f>
        <v>0</v>
      </c>
      <c r="C250" s="330"/>
      <c r="D250" s="328"/>
      <c r="E250" s="329"/>
      <c r="F250" s="329"/>
      <c r="G250" s="329"/>
      <c r="H250" s="329"/>
      <c r="I250" s="339" t="str">
        <f>IF(OR(VLOOKUP(C250,'!'!$GU$24:$HE$390,'!'!HE$17,FALSE)&gt;'!'!$GL$8,VLOOKUP(C250,'!'!$GU$24:$HE$390,'!'!HE$17,FALSE)&lt;'!'!$GL$7+1),"",$I$12)</f>
        <v/>
      </c>
      <c r="J250" s="357">
        <f>IF(Report!$G$4=C250,1,IF(Report!$H$4=C250,1,0))</f>
        <v>0</v>
      </c>
      <c r="K250" s="358">
        <f>SUM($J$25:J250)</f>
        <v>0</v>
      </c>
      <c r="L250" s="359"/>
    </row>
    <row r="251" spans="1:12" x14ac:dyDescent="0.35">
      <c r="A251" s="340" t="str">
        <f>IF(OR(C251&gt;Report!$H$4,C251&lt;Report!$G$4),"",IF(OR(J251*K251=1,K251-J251=1),'!'!$GJ$14,""))</f>
        <v/>
      </c>
      <c r="B251" s="332">
        <f>IF(A251="",0,COUNTIF($A$25:$A251,'!'!$GJ$14))</f>
        <v>0</v>
      </c>
      <c r="C251" s="330"/>
      <c r="D251" s="328"/>
      <c r="E251" s="329"/>
      <c r="F251" s="329"/>
      <c r="G251" s="329"/>
      <c r="H251" s="329"/>
      <c r="I251" s="339" t="str">
        <f>IF(OR(VLOOKUP(C251,'!'!$GU$24:$HE$390,'!'!HE$17,FALSE)&gt;'!'!$GL$8,VLOOKUP(C251,'!'!$GU$24:$HE$390,'!'!HE$17,FALSE)&lt;'!'!$GL$7+1),"",$I$12)</f>
        <v/>
      </c>
      <c r="J251" s="357">
        <f>IF(Report!$G$4=C251,1,IF(Report!$H$4=C251,1,0))</f>
        <v>0</v>
      </c>
      <c r="K251" s="358">
        <f>SUM($J$25:J251)</f>
        <v>0</v>
      </c>
      <c r="L251" s="359"/>
    </row>
    <row r="252" spans="1:12" x14ac:dyDescent="0.35">
      <c r="A252" s="340" t="str">
        <f>IF(OR(C252&gt;Report!$H$4,C252&lt;Report!$G$4),"",IF(OR(J252*K252=1,K252-J252=1),'!'!$GJ$14,""))</f>
        <v/>
      </c>
      <c r="B252" s="332">
        <f>IF(A252="",0,COUNTIF($A$25:$A252,'!'!$GJ$14))</f>
        <v>0</v>
      </c>
      <c r="C252" s="330"/>
      <c r="D252" s="328"/>
      <c r="E252" s="329"/>
      <c r="F252" s="329"/>
      <c r="G252" s="329"/>
      <c r="H252" s="329"/>
      <c r="I252" s="339" t="str">
        <f>IF(OR(VLOOKUP(C252,'!'!$GU$24:$HE$390,'!'!HE$17,FALSE)&gt;'!'!$GL$8,VLOOKUP(C252,'!'!$GU$24:$HE$390,'!'!HE$17,FALSE)&lt;'!'!$GL$7+1),"",$I$12)</f>
        <v/>
      </c>
      <c r="J252" s="357">
        <f>IF(Report!$G$4=C252,1,IF(Report!$H$4=C252,1,0))</f>
        <v>0</v>
      </c>
      <c r="K252" s="358">
        <f>SUM($J$25:J252)</f>
        <v>0</v>
      </c>
      <c r="L252" s="359"/>
    </row>
    <row r="253" spans="1:12" x14ac:dyDescent="0.35">
      <c r="A253" s="340" t="str">
        <f>IF(OR(C253&gt;Report!$H$4,C253&lt;Report!$G$4),"",IF(OR(J253*K253=1,K253-J253=1),'!'!$GJ$14,""))</f>
        <v/>
      </c>
      <c r="B253" s="332">
        <f>IF(A253="",0,COUNTIF($A$25:$A253,'!'!$GJ$14))</f>
        <v>0</v>
      </c>
      <c r="C253" s="330"/>
      <c r="D253" s="328"/>
      <c r="E253" s="329"/>
      <c r="F253" s="329"/>
      <c r="G253" s="329"/>
      <c r="H253" s="329"/>
      <c r="I253" s="339" t="str">
        <f>IF(OR(VLOOKUP(C253,'!'!$GU$24:$HE$390,'!'!HE$17,FALSE)&gt;'!'!$GL$8,VLOOKUP(C253,'!'!$GU$24:$HE$390,'!'!HE$17,FALSE)&lt;'!'!$GL$7+1),"",$I$12)</f>
        <v/>
      </c>
      <c r="J253" s="357">
        <f>IF(Report!$G$4=C253,1,IF(Report!$H$4=C253,1,0))</f>
        <v>0</v>
      </c>
      <c r="K253" s="358">
        <f>SUM($J$25:J253)</f>
        <v>0</v>
      </c>
      <c r="L253" s="359"/>
    </row>
    <row r="254" spans="1:12" x14ac:dyDescent="0.35">
      <c r="A254" s="340" t="str">
        <f>IF(OR(C254&gt;Report!$H$4,C254&lt;Report!$G$4),"",IF(OR(J254*K254=1,K254-J254=1),'!'!$GJ$14,""))</f>
        <v/>
      </c>
      <c r="B254" s="332">
        <f>IF(A254="",0,COUNTIF($A$25:$A254,'!'!$GJ$14))</f>
        <v>0</v>
      </c>
      <c r="C254" s="330"/>
      <c r="D254" s="328"/>
      <c r="E254" s="329"/>
      <c r="F254" s="329"/>
      <c r="G254" s="329"/>
      <c r="H254" s="329"/>
      <c r="I254" s="339" t="str">
        <f>IF(OR(VLOOKUP(C254,'!'!$GU$24:$HE$390,'!'!HE$17,FALSE)&gt;'!'!$GL$8,VLOOKUP(C254,'!'!$GU$24:$HE$390,'!'!HE$17,FALSE)&lt;'!'!$GL$7+1),"",$I$12)</f>
        <v/>
      </c>
      <c r="J254" s="357">
        <f>IF(Report!$G$4=C254,1,IF(Report!$H$4=C254,1,0))</f>
        <v>0</v>
      </c>
      <c r="K254" s="358">
        <f>SUM($J$25:J254)</f>
        <v>0</v>
      </c>
      <c r="L254" s="359"/>
    </row>
    <row r="255" spans="1:12" x14ac:dyDescent="0.35">
      <c r="A255" s="340" t="str">
        <f>IF(OR(C255&gt;Report!$H$4,C255&lt;Report!$G$4),"",IF(OR(J255*K255=1,K255-J255=1),'!'!$GJ$14,""))</f>
        <v/>
      </c>
      <c r="B255" s="332">
        <f>IF(A255="",0,COUNTIF($A$25:$A255,'!'!$GJ$14))</f>
        <v>0</v>
      </c>
      <c r="C255" s="330"/>
      <c r="D255" s="328"/>
      <c r="E255" s="329"/>
      <c r="F255" s="329"/>
      <c r="G255" s="329"/>
      <c r="H255" s="329"/>
      <c r="I255" s="339" t="str">
        <f>IF(OR(VLOOKUP(C255,'!'!$GU$24:$HE$390,'!'!HE$17,FALSE)&gt;'!'!$GL$8,VLOOKUP(C255,'!'!$GU$24:$HE$390,'!'!HE$17,FALSE)&lt;'!'!$GL$7+1),"",$I$12)</f>
        <v/>
      </c>
      <c r="J255" s="357">
        <f>IF(Report!$G$4=C255,1,IF(Report!$H$4=C255,1,0))</f>
        <v>0</v>
      </c>
      <c r="K255" s="358">
        <f>SUM($J$25:J255)</f>
        <v>0</v>
      </c>
      <c r="L255" s="359"/>
    </row>
    <row r="256" spans="1:12" x14ac:dyDescent="0.35">
      <c r="A256" s="340" t="str">
        <f>IF(OR(C256&gt;Report!$H$4,C256&lt;Report!$G$4),"",IF(OR(J256*K256=1,K256-J256=1),'!'!$GJ$14,""))</f>
        <v/>
      </c>
      <c r="B256" s="332">
        <f>IF(A256="",0,COUNTIF($A$25:$A256,'!'!$GJ$14))</f>
        <v>0</v>
      </c>
      <c r="C256" s="330"/>
      <c r="D256" s="328"/>
      <c r="E256" s="329"/>
      <c r="F256" s="329"/>
      <c r="G256" s="329"/>
      <c r="H256" s="329"/>
      <c r="I256" s="339" t="str">
        <f>IF(OR(VLOOKUP(C256,'!'!$GU$24:$HE$390,'!'!HE$17,FALSE)&gt;'!'!$GL$8,VLOOKUP(C256,'!'!$GU$24:$HE$390,'!'!HE$17,FALSE)&lt;'!'!$GL$7+1),"",$I$12)</f>
        <v/>
      </c>
      <c r="J256" s="357">
        <f>IF(Report!$G$4=C256,1,IF(Report!$H$4=C256,1,0))</f>
        <v>0</v>
      </c>
      <c r="K256" s="358">
        <f>SUM($J$25:J256)</f>
        <v>0</v>
      </c>
      <c r="L256" s="359"/>
    </row>
    <row r="257" spans="1:12" x14ac:dyDescent="0.35">
      <c r="A257" s="340" t="str">
        <f>IF(OR(C257&gt;Report!$H$4,C257&lt;Report!$G$4),"",IF(OR(J257*K257=1,K257-J257=1),'!'!$GJ$14,""))</f>
        <v/>
      </c>
      <c r="B257" s="332">
        <f>IF(A257="",0,COUNTIF($A$25:$A257,'!'!$GJ$14))</f>
        <v>0</v>
      </c>
      <c r="C257" s="330"/>
      <c r="D257" s="328"/>
      <c r="E257" s="329"/>
      <c r="F257" s="329"/>
      <c r="G257" s="329"/>
      <c r="H257" s="329"/>
      <c r="I257" s="339" t="str">
        <f>IF(OR(VLOOKUP(C257,'!'!$GU$24:$HE$390,'!'!HE$17,FALSE)&gt;'!'!$GL$8,VLOOKUP(C257,'!'!$GU$24:$HE$390,'!'!HE$17,FALSE)&lt;'!'!$GL$7+1),"",$I$12)</f>
        <v/>
      </c>
      <c r="J257" s="357">
        <f>IF(Report!$G$4=C257,1,IF(Report!$H$4=C257,1,0))</f>
        <v>0</v>
      </c>
      <c r="K257" s="358">
        <f>SUM($J$25:J257)</f>
        <v>0</v>
      </c>
      <c r="L257" s="359"/>
    </row>
    <row r="258" spans="1:12" x14ac:dyDescent="0.35">
      <c r="A258" s="340" t="str">
        <f>IF(OR(C258&gt;Report!$H$4,C258&lt;Report!$G$4),"",IF(OR(J258*K258=1,K258-J258=1),'!'!$GJ$14,""))</f>
        <v/>
      </c>
      <c r="B258" s="332">
        <f>IF(A258="",0,COUNTIF($A$25:$A258,'!'!$GJ$14))</f>
        <v>0</v>
      </c>
      <c r="C258" s="330"/>
      <c r="D258" s="328"/>
      <c r="E258" s="329"/>
      <c r="F258" s="329"/>
      <c r="G258" s="329"/>
      <c r="H258" s="329"/>
      <c r="I258" s="339" t="str">
        <f>IF(OR(VLOOKUP(C258,'!'!$GU$24:$HE$390,'!'!HE$17,FALSE)&gt;'!'!$GL$8,VLOOKUP(C258,'!'!$GU$24:$HE$390,'!'!HE$17,FALSE)&lt;'!'!$GL$7+1),"",$I$12)</f>
        <v/>
      </c>
      <c r="J258" s="357">
        <f>IF(Report!$G$4=C258,1,IF(Report!$H$4=C258,1,0))</f>
        <v>0</v>
      </c>
      <c r="K258" s="358">
        <f>SUM($J$25:J258)</f>
        <v>0</v>
      </c>
      <c r="L258" s="359"/>
    </row>
    <row r="259" spans="1:12" x14ac:dyDescent="0.35">
      <c r="A259" s="340" t="str">
        <f>IF(OR(C259&gt;Report!$H$4,C259&lt;Report!$G$4),"",IF(OR(J259*K259=1,K259-J259=1),'!'!$GJ$14,""))</f>
        <v/>
      </c>
      <c r="B259" s="332">
        <f>IF(A259="",0,COUNTIF($A$25:$A259,'!'!$GJ$14))</f>
        <v>0</v>
      </c>
      <c r="C259" s="330"/>
      <c r="D259" s="328"/>
      <c r="E259" s="329"/>
      <c r="F259" s="329"/>
      <c r="G259" s="329"/>
      <c r="H259" s="329"/>
      <c r="I259" s="339" t="str">
        <f>IF(OR(VLOOKUP(C259,'!'!$GU$24:$HE$390,'!'!HE$17,FALSE)&gt;'!'!$GL$8,VLOOKUP(C259,'!'!$GU$24:$HE$390,'!'!HE$17,FALSE)&lt;'!'!$GL$7+1),"",$I$12)</f>
        <v/>
      </c>
      <c r="J259" s="357">
        <f>IF(Report!$G$4=C259,1,IF(Report!$H$4=C259,1,0))</f>
        <v>0</v>
      </c>
      <c r="K259" s="358">
        <f>SUM($J$25:J259)</f>
        <v>0</v>
      </c>
      <c r="L259" s="359"/>
    </row>
    <row r="260" spans="1:12" x14ac:dyDescent="0.35">
      <c r="A260" s="340" t="str">
        <f>IF(OR(C260&gt;Report!$H$4,C260&lt;Report!$G$4),"",IF(OR(J260*K260=1,K260-J260=1),'!'!$GJ$14,""))</f>
        <v/>
      </c>
      <c r="B260" s="332">
        <f>IF(A260="",0,COUNTIF($A$25:$A260,'!'!$GJ$14))</f>
        <v>0</v>
      </c>
      <c r="C260" s="330"/>
      <c r="D260" s="328"/>
      <c r="E260" s="329"/>
      <c r="F260" s="329"/>
      <c r="G260" s="329"/>
      <c r="H260" s="329"/>
      <c r="I260" s="339" t="str">
        <f>IF(OR(VLOOKUP(C260,'!'!$GU$24:$HE$390,'!'!HE$17,FALSE)&gt;'!'!$GL$8,VLOOKUP(C260,'!'!$GU$24:$HE$390,'!'!HE$17,FALSE)&lt;'!'!$GL$7+1),"",$I$12)</f>
        <v/>
      </c>
      <c r="J260" s="357">
        <f>IF(Report!$G$4=C260,1,IF(Report!$H$4=C260,1,0))</f>
        <v>0</v>
      </c>
      <c r="K260" s="358">
        <f>SUM($J$25:J260)</f>
        <v>0</v>
      </c>
      <c r="L260" s="359"/>
    </row>
    <row r="261" spans="1:12" x14ac:dyDescent="0.35">
      <c r="A261" s="340" t="str">
        <f>IF(OR(C261&gt;Report!$H$4,C261&lt;Report!$G$4),"",IF(OR(J261*K261=1,K261-J261=1),'!'!$GJ$14,""))</f>
        <v/>
      </c>
      <c r="B261" s="332">
        <f>IF(A261="",0,COUNTIF($A$25:$A261,'!'!$GJ$14))</f>
        <v>0</v>
      </c>
      <c r="C261" s="330"/>
      <c r="D261" s="328"/>
      <c r="E261" s="329"/>
      <c r="F261" s="329"/>
      <c r="G261" s="329"/>
      <c r="H261" s="329"/>
      <c r="I261" s="339" t="str">
        <f>IF(OR(VLOOKUP(C261,'!'!$GU$24:$HE$390,'!'!HE$17,FALSE)&gt;'!'!$GL$8,VLOOKUP(C261,'!'!$GU$24:$HE$390,'!'!HE$17,FALSE)&lt;'!'!$GL$7+1),"",$I$12)</f>
        <v/>
      </c>
      <c r="J261" s="357">
        <f>IF(Report!$G$4=C261,1,IF(Report!$H$4=C261,1,0))</f>
        <v>0</v>
      </c>
      <c r="K261" s="358">
        <f>SUM($J$25:J261)</f>
        <v>0</v>
      </c>
      <c r="L261" s="359"/>
    </row>
    <row r="262" spans="1:12" x14ac:dyDescent="0.35">
      <c r="A262" s="340" t="str">
        <f>IF(OR(C262&gt;Report!$H$4,C262&lt;Report!$G$4),"",IF(OR(J262*K262=1,K262-J262=1),'!'!$GJ$14,""))</f>
        <v/>
      </c>
      <c r="B262" s="332">
        <f>IF(A262="",0,COUNTIF($A$25:$A262,'!'!$GJ$14))</f>
        <v>0</v>
      </c>
      <c r="C262" s="330"/>
      <c r="D262" s="328"/>
      <c r="E262" s="329"/>
      <c r="F262" s="329"/>
      <c r="G262" s="329"/>
      <c r="H262" s="329"/>
      <c r="I262" s="339" t="str">
        <f>IF(OR(VLOOKUP(C262,'!'!$GU$24:$HE$390,'!'!HE$17,FALSE)&gt;'!'!$GL$8,VLOOKUP(C262,'!'!$GU$24:$HE$390,'!'!HE$17,FALSE)&lt;'!'!$GL$7+1),"",$I$12)</f>
        <v/>
      </c>
      <c r="J262" s="357">
        <f>IF(Report!$G$4=C262,1,IF(Report!$H$4=C262,1,0))</f>
        <v>0</v>
      </c>
      <c r="K262" s="358">
        <f>SUM($J$25:J262)</f>
        <v>0</v>
      </c>
      <c r="L262" s="359"/>
    </row>
    <row r="263" spans="1:12" x14ac:dyDescent="0.35">
      <c r="A263" s="340" t="str">
        <f>IF(OR(C263&gt;Report!$H$4,C263&lt;Report!$G$4),"",IF(OR(J263*K263=1,K263-J263=1),'!'!$GJ$14,""))</f>
        <v/>
      </c>
      <c r="B263" s="332">
        <f>IF(A263="",0,COUNTIF($A$25:$A263,'!'!$GJ$14))</f>
        <v>0</v>
      </c>
      <c r="C263" s="330"/>
      <c r="D263" s="328"/>
      <c r="E263" s="329"/>
      <c r="F263" s="329"/>
      <c r="G263" s="329"/>
      <c r="H263" s="329"/>
      <c r="I263" s="339" t="str">
        <f>IF(OR(VLOOKUP(C263,'!'!$GU$24:$HE$390,'!'!HE$17,FALSE)&gt;'!'!$GL$8,VLOOKUP(C263,'!'!$GU$24:$HE$390,'!'!HE$17,FALSE)&lt;'!'!$GL$7+1),"",$I$12)</f>
        <v/>
      </c>
      <c r="J263" s="357">
        <f>IF(Report!$G$4=C263,1,IF(Report!$H$4=C263,1,0))</f>
        <v>0</v>
      </c>
      <c r="K263" s="358">
        <f>SUM($J$25:J263)</f>
        <v>0</v>
      </c>
      <c r="L263" s="359"/>
    </row>
    <row r="264" spans="1:12" x14ac:dyDescent="0.35">
      <c r="A264" s="340" t="str">
        <f>IF(OR(C264&gt;Report!$H$4,C264&lt;Report!$G$4),"",IF(OR(J264*K264=1,K264-J264=1),'!'!$GJ$14,""))</f>
        <v/>
      </c>
      <c r="B264" s="332">
        <f>IF(A264="",0,COUNTIF($A$25:$A264,'!'!$GJ$14))</f>
        <v>0</v>
      </c>
      <c r="C264" s="330"/>
      <c r="D264" s="328"/>
      <c r="E264" s="329"/>
      <c r="F264" s="329"/>
      <c r="G264" s="329"/>
      <c r="H264" s="329"/>
      <c r="I264" s="339" t="str">
        <f>IF(OR(VLOOKUP(C264,'!'!$GU$24:$HE$390,'!'!HE$17,FALSE)&gt;'!'!$GL$8,VLOOKUP(C264,'!'!$GU$24:$HE$390,'!'!HE$17,FALSE)&lt;'!'!$GL$7+1),"",$I$12)</f>
        <v/>
      </c>
      <c r="J264" s="357">
        <f>IF(Report!$G$4=C264,1,IF(Report!$H$4=C264,1,0))</f>
        <v>0</v>
      </c>
      <c r="K264" s="358">
        <f>SUM($J$25:J264)</f>
        <v>0</v>
      </c>
      <c r="L264" s="359"/>
    </row>
    <row r="265" spans="1:12" x14ac:dyDescent="0.35">
      <c r="A265" s="340" t="str">
        <f>IF(OR(C265&gt;Report!$H$4,C265&lt;Report!$G$4),"",IF(OR(J265*K265=1,K265-J265=1),'!'!$GJ$14,""))</f>
        <v/>
      </c>
      <c r="B265" s="332">
        <f>IF(A265="",0,COUNTIF($A$25:$A265,'!'!$GJ$14))</f>
        <v>0</v>
      </c>
      <c r="C265" s="330"/>
      <c r="D265" s="328"/>
      <c r="E265" s="329"/>
      <c r="F265" s="329"/>
      <c r="G265" s="329"/>
      <c r="H265" s="329"/>
      <c r="I265" s="339" t="str">
        <f>IF(OR(VLOOKUP(C265,'!'!$GU$24:$HE$390,'!'!HE$17,FALSE)&gt;'!'!$GL$8,VLOOKUP(C265,'!'!$GU$24:$HE$390,'!'!HE$17,FALSE)&lt;'!'!$GL$7+1),"",$I$12)</f>
        <v/>
      </c>
      <c r="J265" s="357">
        <f>IF(Report!$G$4=C265,1,IF(Report!$H$4=C265,1,0))</f>
        <v>0</v>
      </c>
      <c r="K265" s="358">
        <f>SUM($J$25:J265)</f>
        <v>0</v>
      </c>
      <c r="L265" s="359"/>
    </row>
    <row r="266" spans="1:12" x14ac:dyDescent="0.35">
      <c r="A266" s="340" t="str">
        <f>IF(OR(C266&gt;Report!$H$4,C266&lt;Report!$G$4),"",IF(OR(J266*K266=1,K266-J266=1),'!'!$GJ$14,""))</f>
        <v/>
      </c>
      <c r="B266" s="332">
        <f>IF(A266="",0,COUNTIF($A$25:$A266,'!'!$GJ$14))</f>
        <v>0</v>
      </c>
      <c r="C266" s="330"/>
      <c r="D266" s="328"/>
      <c r="E266" s="329"/>
      <c r="F266" s="329"/>
      <c r="G266" s="329"/>
      <c r="H266" s="329"/>
      <c r="I266" s="339" t="str">
        <f>IF(OR(VLOOKUP(C266,'!'!$GU$24:$HE$390,'!'!HE$17,FALSE)&gt;'!'!$GL$8,VLOOKUP(C266,'!'!$GU$24:$HE$390,'!'!HE$17,FALSE)&lt;'!'!$GL$7+1),"",$I$12)</f>
        <v/>
      </c>
      <c r="J266" s="357">
        <f>IF(Report!$G$4=C266,1,IF(Report!$H$4=C266,1,0))</f>
        <v>0</v>
      </c>
      <c r="K266" s="358">
        <f>SUM($J$25:J266)</f>
        <v>0</v>
      </c>
      <c r="L266" s="359"/>
    </row>
    <row r="267" spans="1:12" x14ac:dyDescent="0.35">
      <c r="A267" s="340" t="str">
        <f>IF(OR(C267&gt;Report!$H$4,C267&lt;Report!$G$4),"",IF(OR(J267*K267=1,K267-J267=1),'!'!$GJ$14,""))</f>
        <v/>
      </c>
      <c r="B267" s="332">
        <f>IF(A267="",0,COUNTIF($A$25:$A267,'!'!$GJ$14))</f>
        <v>0</v>
      </c>
      <c r="C267" s="330"/>
      <c r="D267" s="328"/>
      <c r="E267" s="329"/>
      <c r="F267" s="329"/>
      <c r="G267" s="329"/>
      <c r="H267" s="329"/>
      <c r="I267" s="339" t="str">
        <f>IF(OR(VLOOKUP(C267,'!'!$GU$24:$HE$390,'!'!HE$17,FALSE)&gt;'!'!$GL$8,VLOOKUP(C267,'!'!$GU$24:$HE$390,'!'!HE$17,FALSE)&lt;'!'!$GL$7+1),"",$I$12)</f>
        <v/>
      </c>
      <c r="J267" s="357">
        <f>IF(Report!$G$4=C267,1,IF(Report!$H$4=C267,1,0))</f>
        <v>0</v>
      </c>
      <c r="K267" s="358">
        <f>SUM($J$25:J267)</f>
        <v>0</v>
      </c>
      <c r="L267" s="359"/>
    </row>
    <row r="268" spans="1:12" x14ac:dyDescent="0.35">
      <c r="A268" s="340" t="str">
        <f>IF(OR(C268&gt;Report!$H$4,C268&lt;Report!$G$4),"",IF(OR(J268*K268=1,K268-J268=1),'!'!$GJ$14,""))</f>
        <v/>
      </c>
      <c r="B268" s="332">
        <f>IF(A268="",0,COUNTIF($A$25:$A268,'!'!$GJ$14))</f>
        <v>0</v>
      </c>
      <c r="C268" s="330"/>
      <c r="D268" s="328"/>
      <c r="E268" s="329"/>
      <c r="F268" s="329"/>
      <c r="G268" s="329"/>
      <c r="H268" s="329"/>
      <c r="I268" s="339" t="str">
        <f>IF(OR(VLOOKUP(C268,'!'!$GU$24:$HE$390,'!'!HE$17,FALSE)&gt;'!'!$GL$8,VLOOKUP(C268,'!'!$GU$24:$HE$390,'!'!HE$17,FALSE)&lt;'!'!$GL$7+1),"",$I$12)</f>
        <v/>
      </c>
      <c r="J268" s="357">
        <f>IF(Report!$G$4=C268,1,IF(Report!$H$4=C268,1,0))</f>
        <v>0</v>
      </c>
      <c r="K268" s="358">
        <f>SUM($J$25:J268)</f>
        <v>0</v>
      </c>
      <c r="L268" s="359"/>
    </row>
    <row r="269" spans="1:12" x14ac:dyDescent="0.35">
      <c r="A269" s="340" t="str">
        <f>IF(OR(C269&gt;Report!$H$4,C269&lt;Report!$G$4),"",IF(OR(J269*K269=1,K269-J269=1),'!'!$GJ$14,""))</f>
        <v/>
      </c>
      <c r="B269" s="332">
        <f>IF(A269="",0,COUNTIF($A$25:$A269,'!'!$GJ$14))</f>
        <v>0</v>
      </c>
      <c r="C269" s="330"/>
      <c r="D269" s="328"/>
      <c r="E269" s="329"/>
      <c r="F269" s="329"/>
      <c r="G269" s="329"/>
      <c r="H269" s="329"/>
      <c r="I269" s="339" t="str">
        <f>IF(OR(VLOOKUP(C269,'!'!$GU$24:$HE$390,'!'!HE$17,FALSE)&gt;'!'!$GL$8,VLOOKUP(C269,'!'!$GU$24:$HE$390,'!'!HE$17,FALSE)&lt;'!'!$GL$7+1),"",$I$12)</f>
        <v/>
      </c>
      <c r="J269" s="357">
        <f>IF(Report!$G$4=C269,1,IF(Report!$H$4=C269,1,0))</f>
        <v>0</v>
      </c>
      <c r="K269" s="358">
        <f>SUM($J$25:J269)</f>
        <v>0</v>
      </c>
      <c r="L269" s="359"/>
    </row>
    <row r="270" spans="1:12" x14ac:dyDescent="0.35">
      <c r="A270" s="340" t="str">
        <f>IF(OR(C270&gt;Report!$H$4,C270&lt;Report!$G$4),"",IF(OR(J270*K270=1,K270-J270=1),'!'!$GJ$14,""))</f>
        <v/>
      </c>
      <c r="B270" s="332">
        <f>IF(A270="",0,COUNTIF($A$25:$A270,'!'!$GJ$14))</f>
        <v>0</v>
      </c>
      <c r="C270" s="330"/>
      <c r="D270" s="328"/>
      <c r="E270" s="329"/>
      <c r="F270" s="329"/>
      <c r="G270" s="329"/>
      <c r="H270" s="329"/>
      <c r="I270" s="339" t="str">
        <f>IF(OR(VLOOKUP(C270,'!'!$GU$24:$HE$390,'!'!HE$17,FALSE)&gt;'!'!$GL$8,VLOOKUP(C270,'!'!$GU$24:$HE$390,'!'!HE$17,FALSE)&lt;'!'!$GL$7+1),"",$I$12)</f>
        <v/>
      </c>
      <c r="J270" s="357">
        <f>IF(Report!$G$4=C270,1,IF(Report!$H$4=C270,1,0))</f>
        <v>0</v>
      </c>
      <c r="K270" s="358">
        <f>SUM($J$25:J270)</f>
        <v>0</v>
      </c>
      <c r="L270" s="359"/>
    </row>
    <row r="271" spans="1:12" x14ac:dyDescent="0.35">
      <c r="A271" s="340" t="str">
        <f>IF(OR(C271&gt;Report!$H$4,C271&lt;Report!$G$4),"",IF(OR(J271*K271=1,K271-J271=1),'!'!$GJ$14,""))</f>
        <v/>
      </c>
      <c r="B271" s="332">
        <f>IF(A271="",0,COUNTIF($A$25:$A271,'!'!$GJ$14))</f>
        <v>0</v>
      </c>
      <c r="C271" s="330"/>
      <c r="D271" s="328"/>
      <c r="E271" s="329"/>
      <c r="F271" s="329"/>
      <c r="G271" s="329"/>
      <c r="H271" s="329"/>
      <c r="I271" s="339" t="str">
        <f>IF(OR(VLOOKUP(C271,'!'!$GU$24:$HE$390,'!'!HE$17,FALSE)&gt;'!'!$GL$8,VLOOKUP(C271,'!'!$GU$24:$HE$390,'!'!HE$17,FALSE)&lt;'!'!$GL$7+1),"",$I$12)</f>
        <v/>
      </c>
      <c r="J271" s="357">
        <f>IF(Report!$G$4=C271,1,IF(Report!$H$4=C271,1,0))</f>
        <v>0</v>
      </c>
      <c r="K271" s="358">
        <f>SUM($J$25:J271)</f>
        <v>0</v>
      </c>
      <c r="L271" s="359"/>
    </row>
    <row r="272" spans="1:12" x14ac:dyDescent="0.35">
      <c r="A272" s="340" t="str">
        <f>IF(OR(C272&gt;Report!$H$4,C272&lt;Report!$G$4),"",IF(OR(J272*K272=1,K272-J272=1),'!'!$GJ$14,""))</f>
        <v/>
      </c>
      <c r="B272" s="332">
        <f>IF(A272="",0,COUNTIF($A$25:$A272,'!'!$GJ$14))</f>
        <v>0</v>
      </c>
      <c r="C272" s="330"/>
      <c r="D272" s="328"/>
      <c r="E272" s="329"/>
      <c r="F272" s="329"/>
      <c r="G272" s="329"/>
      <c r="H272" s="329"/>
      <c r="I272" s="339" t="str">
        <f>IF(OR(VLOOKUP(C272,'!'!$GU$24:$HE$390,'!'!HE$17,FALSE)&gt;'!'!$GL$8,VLOOKUP(C272,'!'!$GU$24:$HE$390,'!'!HE$17,FALSE)&lt;'!'!$GL$7+1),"",$I$12)</f>
        <v/>
      </c>
      <c r="J272" s="357">
        <f>IF(Report!$G$4=C272,1,IF(Report!$H$4=C272,1,0))</f>
        <v>0</v>
      </c>
      <c r="K272" s="358">
        <f>SUM($J$25:J272)</f>
        <v>0</v>
      </c>
      <c r="L272" s="359"/>
    </row>
    <row r="273" spans="1:12" x14ac:dyDescent="0.35">
      <c r="A273" s="340" t="str">
        <f>IF(OR(C273&gt;Report!$H$4,C273&lt;Report!$G$4),"",IF(OR(J273*K273=1,K273-J273=1),'!'!$GJ$14,""))</f>
        <v/>
      </c>
      <c r="B273" s="332">
        <f>IF(A273="",0,COUNTIF($A$25:$A273,'!'!$GJ$14))</f>
        <v>0</v>
      </c>
      <c r="C273" s="330"/>
      <c r="D273" s="328"/>
      <c r="E273" s="329"/>
      <c r="F273" s="329"/>
      <c r="G273" s="329"/>
      <c r="H273" s="329"/>
      <c r="I273" s="339" t="str">
        <f>IF(OR(VLOOKUP(C273,'!'!$GU$24:$HE$390,'!'!HE$17,FALSE)&gt;'!'!$GL$8,VLOOKUP(C273,'!'!$GU$24:$HE$390,'!'!HE$17,FALSE)&lt;'!'!$GL$7+1),"",$I$12)</f>
        <v/>
      </c>
      <c r="J273" s="357">
        <f>IF(Report!$G$4=C273,1,IF(Report!$H$4=C273,1,0))</f>
        <v>0</v>
      </c>
      <c r="K273" s="358">
        <f>SUM($J$25:J273)</f>
        <v>0</v>
      </c>
      <c r="L273" s="359"/>
    </row>
    <row r="274" spans="1:12" x14ac:dyDescent="0.35">
      <c r="A274" s="340" t="str">
        <f>IF(OR(C274&gt;Report!$H$4,C274&lt;Report!$G$4),"",IF(OR(J274*K274=1,K274-J274=1),'!'!$GJ$14,""))</f>
        <v/>
      </c>
      <c r="B274" s="332">
        <f>IF(A274="",0,COUNTIF($A$25:$A274,'!'!$GJ$14))</f>
        <v>0</v>
      </c>
      <c r="C274" s="330"/>
      <c r="D274" s="328"/>
      <c r="E274" s="329"/>
      <c r="F274" s="329"/>
      <c r="G274" s="329"/>
      <c r="H274" s="329"/>
      <c r="I274" s="339" t="str">
        <f>IF(OR(VLOOKUP(C274,'!'!$GU$24:$HE$390,'!'!HE$17,FALSE)&gt;'!'!$GL$8,VLOOKUP(C274,'!'!$GU$24:$HE$390,'!'!HE$17,FALSE)&lt;'!'!$GL$7+1),"",$I$12)</f>
        <v/>
      </c>
      <c r="J274" s="357">
        <f>IF(Report!$G$4=C274,1,IF(Report!$H$4=C274,1,0))</f>
        <v>0</v>
      </c>
      <c r="K274" s="358">
        <f>SUM($J$25:J274)</f>
        <v>0</v>
      </c>
      <c r="L274" s="359"/>
    </row>
    <row r="275" spans="1:12" x14ac:dyDescent="0.35">
      <c r="A275" s="340" t="str">
        <f>IF(OR(C275&gt;Report!$H$4,C275&lt;Report!$G$4),"",IF(OR(J275*K275=1,K275-J275=1),'!'!$GJ$14,""))</f>
        <v/>
      </c>
      <c r="B275" s="332">
        <f>IF(A275="",0,COUNTIF($A$25:$A275,'!'!$GJ$14))</f>
        <v>0</v>
      </c>
      <c r="C275" s="330"/>
      <c r="D275" s="328"/>
      <c r="E275" s="329"/>
      <c r="F275" s="329"/>
      <c r="G275" s="329"/>
      <c r="H275" s="329"/>
      <c r="I275" s="339" t="str">
        <f>IF(OR(VLOOKUP(C275,'!'!$GU$24:$HE$390,'!'!HE$17,FALSE)&gt;'!'!$GL$8,VLOOKUP(C275,'!'!$GU$24:$HE$390,'!'!HE$17,FALSE)&lt;'!'!$GL$7+1),"",$I$12)</f>
        <v/>
      </c>
      <c r="J275" s="357">
        <f>IF(Report!$G$4=C275,1,IF(Report!$H$4=C275,1,0))</f>
        <v>0</v>
      </c>
      <c r="K275" s="358">
        <f>SUM($J$25:J275)</f>
        <v>0</v>
      </c>
      <c r="L275" s="359"/>
    </row>
    <row r="276" spans="1:12" x14ac:dyDescent="0.35">
      <c r="A276" s="340" t="str">
        <f>IF(OR(C276&gt;Report!$H$4,C276&lt;Report!$G$4),"",IF(OR(J276*K276=1,K276-J276=1),'!'!$GJ$14,""))</f>
        <v/>
      </c>
      <c r="B276" s="332">
        <f>IF(A276="",0,COUNTIF($A$25:$A276,'!'!$GJ$14))</f>
        <v>0</v>
      </c>
      <c r="C276" s="330"/>
      <c r="D276" s="328"/>
      <c r="E276" s="329"/>
      <c r="F276" s="329"/>
      <c r="G276" s="329"/>
      <c r="H276" s="329"/>
      <c r="I276" s="339" t="str">
        <f>IF(OR(VLOOKUP(C276,'!'!$GU$24:$HE$390,'!'!HE$17,FALSE)&gt;'!'!$GL$8,VLOOKUP(C276,'!'!$GU$24:$HE$390,'!'!HE$17,FALSE)&lt;'!'!$GL$7+1),"",$I$12)</f>
        <v/>
      </c>
      <c r="J276" s="357">
        <f>IF(Report!$G$4=C276,1,IF(Report!$H$4=C276,1,0))</f>
        <v>0</v>
      </c>
      <c r="K276" s="358">
        <f>SUM($J$25:J276)</f>
        <v>0</v>
      </c>
      <c r="L276" s="359"/>
    </row>
    <row r="277" spans="1:12" x14ac:dyDescent="0.35">
      <c r="A277" s="340" t="str">
        <f>IF(OR(C277&gt;Report!$H$4,C277&lt;Report!$G$4),"",IF(OR(J277*K277=1,K277-J277=1),'!'!$GJ$14,""))</f>
        <v/>
      </c>
      <c r="B277" s="332">
        <f>IF(A277="",0,COUNTIF($A$25:$A277,'!'!$GJ$14))</f>
        <v>0</v>
      </c>
      <c r="C277" s="330"/>
      <c r="D277" s="328"/>
      <c r="E277" s="329"/>
      <c r="F277" s="329"/>
      <c r="G277" s="329"/>
      <c r="H277" s="329"/>
      <c r="I277" s="339" t="str">
        <f>IF(OR(VLOOKUP(C277,'!'!$GU$24:$HE$390,'!'!HE$17,FALSE)&gt;'!'!$GL$8,VLOOKUP(C277,'!'!$GU$24:$HE$390,'!'!HE$17,FALSE)&lt;'!'!$GL$7+1),"",$I$12)</f>
        <v/>
      </c>
      <c r="J277" s="357">
        <f>IF(Report!$G$4=C277,1,IF(Report!$H$4=C277,1,0))</f>
        <v>0</v>
      </c>
      <c r="K277" s="358">
        <f>SUM($J$25:J277)</f>
        <v>0</v>
      </c>
      <c r="L277" s="359"/>
    </row>
    <row r="278" spans="1:12" x14ac:dyDescent="0.35">
      <c r="A278" s="340" t="str">
        <f>IF(OR(C278&gt;Report!$H$4,C278&lt;Report!$G$4),"",IF(OR(J278*K278=1,K278-J278=1),'!'!$GJ$14,""))</f>
        <v/>
      </c>
      <c r="B278" s="332">
        <f>IF(A278="",0,COUNTIF($A$25:$A278,'!'!$GJ$14))</f>
        <v>0</v>
      </c>
      <c r="C278" s="330"/>
      <c r="D278" s="328"/>
      <c r="E278" s="329"/>
      <c r="F278" s="329"/>
      <c r="G278" s="329"/>
      <c r="H278" s="329"/>
      <c r="I278" s="339" t="str">
        <f>IF(OR(VLOOKUP(C278,'!'!$GU$24:$HE$390,'!'!HE$17,FALSE)&gt;'!'!$GL$8,VLOOKUP(C278,'!'!$GU$24:$HE$390,'!'!HE$17,FALSE)&lt;'!'!$GL$7+1),"",$I$12)</f>
        <v/>
      </c>
      <c r="J278" s="357">
        <f>IF(Report!$G$4=C278,1,IF(Report!$H$4=C278,1,0))</f>
        <v>0</v>
      </c>
      <c r="K278" s="358">
        <f>SUM($J$25:J278)</f>
        <v>0</v>
      </c>
      <c r="L278" s="359"/>
    </row>
    <row r="279" spans="1:12" x14ac:dyDescent="0.35">
      <c r="A279" s="340" t="str">
        <f>IF(OR(C279&gt;Report!$H$4,C279&lt;Report!$G$4),"",IF(OR(J279*K279=1,K279-J279=1),'!'!$GJ$14,""))</f>
        <v/>
      </c>
      <c r="B279" s="332">
        <f>IF(A279="",0,COUNTIF($A$25:$A279,'!'!$GJ$14))</f>
        <v>0</v>
      </c>
      <c r="C279" s="330"/>
      <c r="D279" s="328"/>
      <c r="E279" s="329"/>
      <c r="F279" s="329"/>
      <c r="G279" s="329"/>
      <c r="H279" s="329"/>
      <c r="I279" s="339" t="str">
        <f>IF(OR(VLOOKUP(C279,'!'!$GU$24:$HE$390,'!'!HE$17,FALSE)&gt;'!'!$GL$8,VLOOKUP(C279,'!'!$GU$24:$HE$390,'!'!HE$17,FALSE)&lt;'!'!$GL$7+1),"",$I$12)</f>
        <v/>
      </c>
      <c r="J279" s="357">
        <f>IF(Report!$G$4=C279,1,IF(Report!$H$4=C279,1,0))</f>
        <v>0</v>
      </c>
      <c r="K279" s="358">
        <f>SUM($J$25:J279)</f>
        <v>0</v>
      </c>
      <c r="L279" s="359"/>
    </row>
    <row r="280" spans="1:12" x14ac:dyDescent="0.35">
      <c r="A280" s="340" t="str">
        <f>IF(OR(C280&gt;Report!$H$4,C280&lt;Report!$G$4),"",IF(OR(J280*K280=1,K280-J280=1),'!'!$GJ$14,""))</f>
        <v/>
      </c>
      <c r="B280" s="332">
        <f>IF(A280="",0,COUNTIF($A$25:$A280,'!'!$GJ$14))</f>
        <v>0</v>
      </c>
      <c r="C280" s="330"/>
      <c r="D280" s="328"/>
      <c r="E280" s="329"/>
      <c r="F280" s="329"/>
      <c r="G280" s="329"/>
      <c r="H280" s="329"/>
      <c r="I280" s="339" t="str">
        <f>IF(OR(VLOOKUP(C280,'!'!$GU$24:$HE$390,'!'!HE$17,FALSE)&gt;'!'!$GL$8,VLOOKUP(C280,'!'!$GU$24:$HE$390,'!'!HE$17,FALSE)&lt;'!'!$GL$7+1),"",$I$12)</f>
        <v/>
      </c>
      <c r="J280" s="357">
        <f>IF(Report!$G$4=C280,1,IF(Report!$H$4=C280,1,0))</f>
        <v>0</v>
      </c>
      <c r="K280" s="358">
        <f>SUM($J$25:J280)</f>
        <v>0</v>
      </c>
      <c r="L280" s="359"/>
    </row>
    <row r="281" spans="1:12" x14ac:dyDescent="0.35">
      <c r="A281" s="340" t="str">
        <f>IF(OR(C281&gt;Report!$H$4,C281&lt;Report!$G$4),"",IF(OR(J281*K281=1,K281-J281=1),'!'!$GJ$14,""))</f>
        <v/>
      </c>
      <c r="B281" s="332">
        <f>IF(A281="",0,COUNTIF($A$25:$A281,'!'!$GJ$14))</f>
        <v>0</v>
      </c>
      <c r="C281" s="330"/>
      <c r="D281" s="328"/>
      <c r="E281" s="329"/>
      <c r="F281" s="329"/>
      <c r="G281" s="329"/>
      <c r="H281" s="329"/>
      <c r="I281" s="339" t="str">
        <f>IF(OR(VLOOKUP(C281,'!'!$GU$24:$HE$390,'!'!HE$17,FALSE)&gt;'!'!$GL$8,VLOOKUP(C281,'!'!$GU$24:$HE$390,'!'!HE$17,FALSE)&lt;'!'!$GL$7+1),"",$I$12)</f>
        <v/>
      </c>
      <c r="J281" s="357">
        <f>IF(Report!$G$4=C281,1,IF(Report!$H$4=C281,1,0))</f>
        <v>0</v>
      </c>
      <c r="K281" s="358">
        <f>SUM($J$25:J281)</f>
        <v>0</v>
      </c>
      <c r="L281" s="359"/>
    </row>
    <row r="282" spans="1:12" x14ac:dyDescent="0.35">
      <c r="A282" s="340" t="str">
        <f>IF(OR(C282&gt;Report!$H$4,C282&lt;Report!$G$4),"",IF(OR(J282*K282=1,K282-J282=1),'!'!$GJ$14,""))</f>
        <v/>
      </c>
      <c r="B282" s="332">
        <f>IF(A282="",0,COUNTIF($A$25:$A282,'!'!$GJ$14))</f>
        <v>0</v>
      </c>
      <c r="C282" s="330"/>
      <c r="D282" s="328"/>
      <c r="E282" s="329"/>
      <c r="F282" s="329"/>
      <c r="G282" s="329"/>
      <c r="H282" s="329"/>
      <c r="I282" s="339" t="str">
        <f>IF(OR(VLOOKUP(C282,'!'!$GU$24:$HE$390,'!'!HE$17,FALSE)&gt;'!'!$GL$8,VLOOKUP(C282,'!'!$GU$24:$HE$390,'!'!HE$17,FALSE)&lt;'!'!$GL$7+1),"",$I$12)</f>
        <v/>
      </c>
      <c r="J282" s="357">
        <f>IF(Report!$G$4=C282,1,IF(Report!$H$4=C282,1,0))</f>
        <v>0</v>
      </c>
      <c r="K282" s="358">
        <f>SUM($J$25:J282)</f>
        <v>0</v>
      </c>
      <c r="L282" s="359"/>
    </row>
    <row r="283" spans="1:12" x14ac:dyDescent="0.35">
      <c r="A283" s="340" t="str">
        <f>IF(OR(C283&gt;Report!$H$4,C283&lt;Report!$G$4),"",IF(OR(J283*K283=1,K283-J283=1),'!'!$GJ$14,""))</f>
        <v/>
      </c>
      <c r="B283" s="332">
        <f>IF(A283="",0,COUNTIF($A$25:$A283,'!'!$GJ$14))</f>
        <v>0</v>
      </c>
      <c r="C283" s="330"/>
      <c r="D283" s="328"/>
      <c r="E283" s="329"/>
      <c r="F283" s="329"/>
      <c r="G283" s="329"/>
      <c r="H283" s="329"/>
      <c r="I283" s="339" t="str">
        <f>IF(OR(VLOOKUP(C283,'!'!$GU$24:$HE$390,'!'!HE$17,FALSE)&gt;'!'!$GL$8,VLOOKUP(C283,'!'!$GU$24:$HE$390,'!'!HE$17,FALSE)&lt;'!'!$GL$7+1),"",$I$12)</f>
        <v/>
      </c>
      <c r="J283" s="357">
        <f>IF(Report!$G$4=C283,1,IF(Report!$H$4=C283,1,0))</f>
        <v>0</v>
      </c>
      <c r="K283" s="358">
        <f>SUM($J$25:J283)</f>
        <v>0</v>
      </c>
      <c r="L283" s="359"/>
    </row>
    <row r="284" spans="1:12" x14ac:dyDescent="0.35">
      <c r="A284" s="340" t="str">
        <f>IF(OR(C284&gt;Report!$H$4,C284&lt;Report!$G$4),"",IF(OR(J284*K284=1,K284-J284=1),'!'!$GJ$14,""))</f>
        <v/>
      </c>
      <c r="B284" s="332">
        <f>IF(A284="",0,COUNTIF($A$25:$A284,'!'!$GJ$14))</f>
        <v>0</v>
      </c>
      <c r="C284" s="330"/>
      <c r="D284" s="328"/>
      <c r="E284" s="329"/>
      <c r="F284" s="329"/>
      <c r="G284" s="329"/>
      <c r="H284" s="329"/>
      <c r="I284" s="339" t="str">
        <f>IF(OR(VLOOKUP(C284,'!'!$GU$24:$HE$390,'!'!HE$17,FALSE)&gt;'!'!$GL$8,VLOOKUP(C284,'!'!$GU$24:$HE$390,'!'!HE$17,FALSE)&lt;'!'!$GL$7+1),"",$I$12)</f>
        <v/>
      </c>
      <c r="J284" s="357">
        <f>IF(Report!$G$4=C284,1,IF(Report!$H$4=C284,1,0))</f>
        <v>0</v>
      </c>
      <c r="K284" s="358">
        <f>SUM($J$25:J284)</f>
        <v>0</v>
      </c>
      <c r="L284" s="359"/>
    </row>
    <row r="285" spans="1:12" x14ac:dyDescent="0.35">
      <c r="A285" s="340" t="str">
        <f>IF(OR(C285&gt;Report!$H$4,C285&lt;Report!$G$4),"",IF(OR(J285*K285=1,K285-J285=1),'!'!$GJ$14,""))</f>
        <v/>
      </c>
      <c r="B285" s="332">
        <f>IF(A285="",0,COUNTIF($A$25:$A285,'!'!$GJ$14))</f>
        <v>0</v>
      </c>
      <c r="C285" s="330"/>
      <c r="D285" s="328"/>
      <c r="E285" s="329"/>
      <c r="F285" s="329"/>
      <c r="G285" s="329"/>
      <c r="H285" s="329"/>
      <c r="I285" s="339" t="str">
        <f>IF(OR(VLOOKUP(C285,'!'!$GU$24:$HE$390,'!'!HE$17,FALSE)&gt;'!'!$GL$8,VLOOKUP(C285,'!'!$GU$24:$HE$390,'!'!HE$17,FALSE)&lt;'!'!$GL$7+1),"",$I$12)</f>
        <v/>
      </c>
      <c r="J285" s="357">
        <f>IF(Report!$G$4=C285,1,IF(Report!$H$4=C285,1,0))</f>
        <v>0</v>
      </c>
      <c r="K285" s="358">
        <f>SUM($J$25:J285)</f>
        <v>0</v>
      </c>
      <c r="L285" s="359"/>
    </row>
    <row r="286" spans="1:12" x14ac:dyDescent="0.35">
      <c r="A286" s="340" t="str">
        <f>IF(OR(C286&gt;Report!$H$4,C286&lt;Report!$G$4),"",IF(OR(J286*K286=1,K286-J286=1),'!'!$GJ$14,""))</f>
        <v/>
      </c>
      <c r="B286" s="332">
        <f>IF(A286="",0,COUNTIF($A$25:$A286,'!'!$GJ$14))</f>
        <v>0</v>
      </c>
      <c r="C286" s="330"/>
      <c r="D286" s="328"/>
      <c r="E286" s="329"/>
      <c r="F286" s="329"/>
      <c r="G286" s="329"/>
      <c r="H286" s="329"/>
      <c r="I286" s="339" t="str">
        <f>IF(OR(VLOOKUP(C286,'!'!$GU$24:$HE$390,'!'!HE$17,FALSE)&gt;'!'!$GL$8,VLOOKUP(C286,'!'!$GU$24:$HE$390,'!'!HE$17,FALSE)&lt;'!'!$GL$7+1),"",$I$12)</f>
        <v/>
      </c>
      <c r="J286" s="357">
        <f>IF(Report!$G$4=C286,1,IF(Report!$H$4=C286,1,0))</f>
        <v>0</v>
      </c>
      <c r="K286" s="358">
        <f>SUM($J$25:J286)</f>
        <v>0</v>
      </c>
      <c r="L286" s="359"/>
    </row>
    <row r="287" spans="1:12" x14ac:dyDescent="0.35">
      <c r="A287" s="340" t="str">
        <f>IF(OR(C287&gt;Report!$H$4,C287&lt;Report!$G$4),"",IF(OR(J287*K287=1,K287-J287=1),'!'!$GJ$14,""))</f>
        <v/>
      </c>
      <c r="B287" s="332">
        <f>IF(A287="",0,COUNTIF($A$25:$A287,'!'!$GJ$14))</f>
        <v>0</v>
      </c>
      <c r="C287" s="330"/>
      <c r="D287" s="328"/>
      <c r="E287" s="329"/>
      <c r="F287" s="329"/>
      <c r="G287" s="329"/>
      <c r="H287" s="329"/>
      <c r="I287" s="339" t="str">
        <f>IF(OR(VLOOKUP(C287,'!'!$GU$24:$HE$390,'!'!HE$17,FALSE)&gt;'!'!$GL$8,VLOOKUP(C287,'!'!$GU$24:$HE$390,'!'!HE$17,FALSE)&lt;'!'!$GL$7+1),"",$I$12)</f>
        <v/>
      </c>
      <c r="J287" s="357">
        <f>IF(Report!$G$4=C287,1,IF(Report!$H$4=C287,1,0))</f>
        <v>0</v>
      </c>
      <c r="K287" s="358">
        <f>SUM($J$25:J287)</f>
        <v>0</v>
      </c>
      <c r="L287" s="359"/>
    </row>
    <row r="288" spans="1:12" x14ac:dyDescent="0.35">
      <c r="A288" s="340" t="str">
        <f>IF(OR(C288&gt;Report!$H$4,C288&lt;Report!$G$4),"",IF(OR(J288*K288=1,K288-J288=1),'!'!$GJ$14,""))</f>
        <v/>
      </c>
      <c r="B288" s="332">
        <f>IF(A288="",0,COUNTIF($A$25:$A288,'!'!$GJ$14))</f>
        <v>0</v>
      </c>
      <c r="C288" s="330"/>
      <c r="D288" s="328"/>
      <c r="E288" s="329"/>
      <c r="F288" s="329"/>
      <c r="G288" s="329"/>
      <c r="H288" s="329"/>
      <c r="I288" s="339" t="str">
        <f>IF(OR(VLOOKUP(C288,'!'!$GU$24:$HE$390,'!'!HE$17,FALSE)&gt;'!'!$GL$8,VLOOKUP(C288,'!'!$GU$24:$HE$390,'!'!HE$17,FALSE)&lt;'!'!$GL$7+1),"",$I$12)</f>
        <v/>
      </c>
      <c r="J288" s="357">
        <f>IF(Report!$G$4=C288,1,IF(Report!$H$4=C288,1,0))</f>
        <v>0</v>
      </c>
      <c r="K288" s="358">
        <f>SUM($J$25:J288)</f>
        <v>0</v>
      </c>
      <c r="L288" s="359"/>
    </row>
    <row r="289" spans="1:12" x14ac:dyDescent="0.35">
      <c r="A289" s="340" t="str">
        <f>IF(OR(C289&gt;Report!$H$4,C289&lt;Report!$G$4),"",IF(OR(J289*K289=1,K289-J289=1),'!'!$GJ$14,""))</f>
        <v/>
      </c>
      <c r="B289" s="332">
        <f>IF(A289="",0,COUNTIF($A$25:$A289,'!'!$GJ$14))</f>
        <v>0</v>
      </c>
      <c r="C289" s="330"/>
      <c r="D289" s="328"/>
      <c r="E289" s="329"/>
      <c r="F289" s="329"/>
      <c r="G289" s="329"/>
      <c r="H289" s="329"/>
      <c r="I289" s="339" t="str">
        <f>IF(OR(VLOOKUP(C289,'!'!$GU$24:$HE$390,'!'!HE$17,FALSE)&gt;'!'!$GL$8,VLOOKUP(C289,'!'!$GU$24:$HE$390,'!'!HE$17,FALSE)&lt;'!'!$GL$7+1),"",$I$12)</f>
        <v/>
      </c>
      <c r="J289" s="357">
        <f>IF(Report!$G$4=C289,1,IF(Report!$H$4=C289,1,0))</f>
        <v>0</v>
      </c>
      <c r="K289" s="358">
        <f>SUM($J$25:J289)</f>
        <v>0</v>
      </c>
      <c r="L289" s="359"/>
    </row>
    <row r="290" spans="1:12" x14ac:dyDescent="0.35">
      <c r="A290" s="340" t="str">
        <f>IF(OR(C290&gt;Report!$H$4,C290&lt;Report!$G$4),"",IF(OR(J290*K290=1,K290-J290=1),'!'!$GJ$14,""))</f>
        <v/>
      </c>
      <c r="B290" s="332">
        <f>IF(A290="",0,COUNTIF($A$25:$A290,'!'!$GJ$14))</f>
        <v>0</v>
      </c>
      <c r="C290" s="330"/>
      <c r="D290" s="328"/>
      <c r="E290" s="329"/>
      <c r="F290" s="329"/>
      <c r="G290" s="329"/>
      <c r="H290" s="329"/>
      <c r="I290" s="339" t="str">
        <f>IF(OR(VLOOKUP(C290,'!'!$GU$24:$HE$390,'!'!HE$17,FALSE)&gt;'!'!$GL$8,VLOOKUP(C290,'!'!$GU$24:$HE$390,'!'!HE$17,FALSE)&lt;'!'!$GL$7+1),"",$I$12)</f>
        <v/>
      </c>
      <c r="J290" s="357">
        <f>IF(Report!$G$4=C290,1,IF(Report!$H$4=C290,1,0))</f>
        <v>0</v>
      </c>
      <c r="K290" s="358">
        <f>SUM($J$25:J290)</f>
        <v>0</v>
      </c>
      <c r="L290" s="359"/>
    </row>
    <row r="291" spans="1:12" x14ac:dyDescent="0.35">
      <c r="A291" s="340" t="str">
        <f>IF(OR(C291&gt;Report!$H$4,C291&lt;Report!$G$4),"",IF(OR(J291*K291=1,K291-J291=1),'!'!$GJ$14,""))</f>
        <v/>
      </c>
      <c r="B291" s="332">
        <f>IF(A291="",0,COUNTIF($A$25:$A291,'!'!$GJ$14))</f>
        <v>0</v>
      </c>
      <c r="C291" s="330"/>
      <c r="D291" s="328"/>
      <c r="E291" s="329"/>
      <c r="F291" s="329"/>
      <c r="G291" s="329"/>
      <c r="H291" s="329"/>
      <c r="I291" s="339" t="str">
        <f>IF(OR(VLOOKUP(C291,'!'!$GU$24:$HE$390,'!'!HE$17,FALSE)&gt;'!'!$GL$8,VLOOKUP(C291,'!'!$GU$24:$HE$390,'!'!HE$17,FALSE)&lt;'!'!$GL$7+1),"",$I$12)</f>
        <v/>
      </c>
      <c r="J291" s="357">
        <f>IF(Report!$G$4=C291,1,IF(Report!$H$4=C291,1,0))</f>
        <v>0</v>
      </c>
      <c r="K291" s="358">
        <f>SUM($J$25:J291)</f>
        <v>0</v>
      </c>
      <c r="L291" s="359"/>
    </row>
    <row r="292" spans="1:12" x14ac:dyDescent="0.35">
      <c r="A292" s="340" t="str">
        <f>IF(OR(C292&gt;Report!$H$4,C292&lt;Report!$G$4),"",IF(OR(J292*K292=1,K292-J292=1),'!'!$GJ$14,""))</f>
        <v/>
      </c>
      <c r="B292" s="332">
        <f>IF(A292="",0,COUNTIF($A$25:$A292,'!'!$GJ$14))</f>
        <v>0</v>
      </c>
      <c r="C292" s="330"/>
      <c r="D292" s="328"/>
      <c r="E292" s="329"/>
      <c r="F292" s="329"/>
      <c r="G292" s="329"/>
      <c r="H292" s="329"/>
      <c r="I292" s="339" t="str">
        <f>IF(OR(VLOOKUP(C292,'!'!$GU$24:$HE$390,'!'!HE$17,FALSE)&gt;'!'!$GL$8,VLOOKUP(C292,'!'!$GU$24:$HE$390,'!'!HE$17,FALSE)&lt;'!'!$GL$7+1),"",$I$12)</f>
        <v/>
      </c>
      <c r="J292" s="357">
        <f>IF(Report!$G$4=C292,1,IF(Report!$H$4=C292,1,0))</f>
        <v>0</v>
      </c>
      <c r="K292" s="358">
        <f>SUM($J$25:J292)</f>
        <v>0</v>
      </c>
      <c r="L292" s="359"/>
    </row>
    <row r="293" spans="1:12" x14ac:dyDescent="0.35">
      <c r="A293" s="340" t="str">
        <f>IF(OR(C293&gt;Report!$H$4,C293&lt;Report!$G$4),"",IF(OR(J293*K293=1,K293-J293=1),'!'!$GJ$14,""))</f>
        <v/>
      </c>
      <c r="B293" s="332">
        <f>IF(A293="",0,COUNTIF($A$25:$A293,'!'!$GJ$14))</f>
        <v>0</v>
      </c>
      <c r="C293" s="330"/>
      <c r="D293" s="328"/>
      <c r="E293" s="329"/>
      <c r="F293" s="329"/>
      <c r="G293" s="329"/>
      <c r="H293" s="329"/>
      <c r="I293" s="339" t="str">
        <f>IF(OR(VLOOKUP(C293,'!'!$GU$24:$HE$390,'!'!HE$17,FALSE)&gt;'!'!$GL$8,VLOOKUP(C293,'!'!$GU$24:$HE$390,'!'!HE$17,FALSE)&lt;'!'!$GL$7+1),"",$I$12)</f>
        <v/>
      </c>
      <c r="J293" s="357">
        <f>IF(Report!$G$4=C293,1,IF(Report!$H$4=C293,1,0))</f>
        <v>0</v>
      </c>
      <c r="K293" s="358">
        <f>SUM($J$25:J293)</f>
        <v>0</v>
      </c>
      <c r="L293" s="359"/>
    </row>
    <row r="294" spans="1:12" x14ac:dyDescent="0.35">
      <c r="A294" s="340" t="str">
        <f>IF(OR(C294&gt;Report!$H$4,C294&lt;Report!$G$4),"",IF(OR(J294*K294=1,K294-J294=1),'!'!$GJ$14,""))</f>
        <v/>
      </c>
      <c r="B294" s="332">
        <f>IF(A294="",0,COUNTIF($A$25:$A294,'!'!$GJ$14))</f>
        <v>0</v>
      </c>
      <c r="C294" s="330"/>
      <c r="D294" s="328"/>
      <c r="E294" s="329"/>
      <c r="F294" s="329"/>
      <c r="G294" s="329"/>
      <c r="H294" s="329"/>
      <c r="I294" s="339" t="str">
        <f>IF(OR(VLOOKUP(C294,'!'!$GU$24:$HE$390,'!'!HE$17,FALSE)&gt;'!'!$GL$8,VLOOKUP(C294,'!'!$GU$24:$HE$390,'!'!HE$17,FALSE)&lt;'!'!$GL$7+1),"",$I$12)</f>
        <v/>
      </c>
      <c r="J294" s="357">
        <f>IF(Report!$G$4=C294,1,IF(Report!$H$4=C294,1,0))</f>
        <v>0</v>
      </c>
      <c r="K294" s="358">
        <f>SUM($J$25:J294)</f>
        <v>0</v>
      </c>
      <c r="L294" s="359"/>
    </row>
    <row r="295" spans="1:12" x14ac:dyDescent="0.35">
      <c r="A295" s="340" t="str">
        <f>IF(OR(C295&gt;Report!$H$4,C295&lt;Report!$G$4),"",IF(OR(J295*K295=1,K295-J295=1),'!'!$GJ$14,""))</f>
        <v/>
      </c>
      <c r="B295" s="332">
        <f>IF(A295="",0,COUNTIF($A$25:$A295,'!'!$GJ$14))</f>
        <v>0</v>
      </c>
      <c r="C295" s="330"/>
      <c r="D295" s="328"/>
      <c r="E295" s="329"/>
      <c r="F295" s="329"/>
      <c r="G295" s="329"/>
      <c r="H295" s="329"/>
      <c r="I295" s="339" t="str">
        <f>IF(OR(VLOOKUP(C295,'!'!$GU$24:$HE$390,'!'!HE$17,FALSE)&gt;'!'!$GL$8,VLOOKUP(C295,'!'!$GU$24:$HE$390,'!'!HE$17,FALSE)&lt;'!'!$GL$7+1),"",$I$12)</f>
        <v/>
      </c>
      <c r="J295" s="357">
        <f>IF(Report!$G$4=C295,1,IF(Report!$H$4=C295,1,0))</f>
        <v>0</v>
      </c>
      <c r="K295" s="358">
        <f>SUM($J$25:J295)</f>
        <v>0</v>
      </c>
      <c r="L295" s="359"/>
    </row>
    <row r="296" spans="1:12" x14ac:dyDescent="0.35">
      <c r="A296" s="340" t="str">
        <f>IF(OR(C296&gt;Report!$H$4,C296&lt;Report!$G$4),"",IF(OR(J296*K296=1,K296-J296=1),'!'!$GJ$14,""))</f>
        <v/>
      </c>
      <c r="B296" s="332">
        <f>IF(A296="",0,COUNTIF($A$25:$A296,'!'!$GJ$14))</f>
        <v>0</v>
      </c>
      <c r="C296" s="330"/>
      <c r="D296" s="328"/>
      <c r="E296" s="329"/>
      <c r="F296" s="329"/>
      <c r="G296" s="329"/>
      <c r="H296" s="329"/>
      <c r="I296" s="339" t="str">
        <f>IF(OR(VLOOKUP(C296,'!'!$GU$24:$HE$390,'!'!HE$17,FALSE)&gt;'!'!$GL$8,VLOOKUP(C296,'!'!$GU$24:$HE$390,'!'!HE$17,FALSE)&lt;'!'!$GL$7+1),"",$I$12)</f>
        <v/>
      </c>
      <c r="J296" s="357">
        <f>IF(Report!$G$4=C296,1,IF(Report!$H$4=C296,1,0))</f>
        <v>0</v>
      </c>
      <c r="K296" s="358">
        <f>SUM($J$25:J296)</f>
        <v>0</v>
      </c>
      <c r="L296" s="359"/>
    </row>
    <row r="297" spans="1:12" x14ac:dyDescent="0.35">
      <c r="A297" s="340" t="str">
        <f>IF(OR(C297&gt;Report!$H$4,C297&lt;Report!$G$4),"",IF(OR(J297*K297=1,K297-J297=1),'!'!$GJ$14,""))</f>
        <v/>
      </c>
      <c r="B297" s="332">
        <f>IF(A297="",0,COUNTIF($A$25:$A297,'!'!$GJ$14))</f>
        <v>0</v>
      </c>
      <c r="C297" s="330"/>
      <c r="D297" s="328"/>
      <c r="E297" s="329"/>
      <c r="F297" s="329"/>
      <c r="G297" s="329"/>
      <c r="H297" s="329"/>
      <c r="I297" s="339" t="str">
        <f>IF(OR(VLOOKUP(C297,'!'!$GU$24:$HE$390,'!'!HE$17,FALSE)&gt;'!'!$GL$8,VLOOKUP(C297,'!'!$GU$24:$HE$390,'!'!HE$17,FALSE)&lt;'!'!$GL$7+1),"",$I$12)</f>
        <v/>
      </c>
      <c r="J297" s="357">
        <f>IF(Report!$G$4=C297,1,IF(Report!$H$4=C297,1,0))</f>
        <v>0</v>
      </c>
      <c r="K297" s="358">
        <f>SUM($J$25:J297)</f>
        <v>0</v>
      </c>
      <c r="L297" s="359"/>
    </row>
    <row r="298" spans="1:12" x14ac:dyDescent="0.35">
      <c r="A298" s="340" t="str">
        <f>IF(OR(C298&gt;Report!$H$4,C298&lt;Report!$G$4),"",IF(OR(J298*K298=1,K298-J298=1),'!'!$GJ$14,""))</f>
        <v/>
      </c>
      <c r="B298" s="332">
        <f>IF(A298="",0,COUNTIF($A$25:$A298,'!'!$GJ$14))</f>
        <v>0</v>
      </c>
      <c r="C298" s="330"/>
      <c r="D298" s="328"/>
      <c r="E298" s="329"/>
      <c r="F298" s="329"/>
      <c r="G298" s="329"/>
      <c r="H298" s="329"/>
      <c r="I298" s="339" t="str">
        <f>IF(OR(VLOOKUP(C298,'!'!$GU$24:$HE$390,'!'!HE$17,FALSE)&gt;'!'!$GL$8,VLOOKUP(C298,'!'!$GU$24:$HE$390,'!'!HE$17,FALSE)&lt;'!'!$GL$7+1),"",$I$12)</f>
        <v/>
      </c>
      <c r="J298" s="357">
        <f>IF(Report!$G$4=C298,1,IF(Report!$H$4=C298,1,0))</f>
        <v>0</v>
      </c>
      <c r="K298" s="358">
        <f>SUM($J$25:J298)</f>
        <v>0</v>
      </c>
      <c r="L298" s="359"/>
    </row>
    <row r="299" spans="1:12" x14ac:dyDescent="0.35">
      <c r="A299" s="340" t="str">
        <f>IF(OR(C299&gt;Report!$H$4,C299&lt;Report!$G$4),"",IF(OR(J299*K299=1,K299-J299=1),'!'!$GJ$14,""))</f>
        <v/>
      </c>
      <c r="B299" s="332">
        <f>IF(A299="",0,COUNTIF($A$25:$A299,'!'!$GJ$14))</f>
        <v>0</v>
      </c>
      <c r="C299" s="330"/>
      <c r="D299" s="328"/>
      <c r="E299" s="329"/>
      <c r="F299" s="329"/>
      <c r="G299" s="329"/>
      <c r="H299" s="329"/>
      <c r="I299" s="339" t="str">
        <f>IF(OR(VLOOKUP(C299,'!'!$GU$24:$HE$390,'!'!HE$17,FALSE)&gt;'!'!$GL$8,VLOOKUP(C299,'!'!$GU$24:$HE$390,'!'!HE$17,FALSE)&lt;'!'!$GL$7+1),"",$I$12)</f>
        <v/>
      </c>
      <c r="J299" s="357">
        <f>IF(Report!$G$4=C299,1,IF(Report!$H$4=C299,1,0))</f>
        <v>0</v>
      </c>
      <c r="K299" s="358">
        <f>SUM($J$25:J299)</f>
        <v>0</v>
      </c>
      <c r="L299" s="359"/>
    </row>
    <row r="300" spans="1:12" x14ac:dyDescent="0.35">
      <c r="A300" s="340" t="str">
        <f>IF(OR(C300&gt;Report!$H$4,C300&lt;Report!$G$4),"",IF(OR(J300*K300=1,K300-J300=1),'!'!$GJ$14,""))</f>
        <v/>
      </c>
      <c r="B300" s="332">
        <f>IF(A300="",0,COUNTIF($A$25:$A300,'!'!$GJ$14))</f>
        <v>0</v>
      </c>
      <c r="C300" s="330"/>
      <c r="D300" s="328"/>
      <c r="E300" s="329"/>
      <c r="F300" s="329"/>
      <c r="G300" s="329"/>
      <c r="H300" s="329"/>
      <c r="I300" s="339" t="str">
        <f>IF(OR(VLOOKUP(C300,'!'!$GU$24:$HE$390,'!'!HE$17,FALSE)&gt;'!'!$GL$8,VLOOKUP(C300,'!'!$GU$24:$HE$390,'!'!HE$17,FALSE)&lt;'!'!$GL$7+1),"",$I$12)</f>
        <v/>
      </c>
      <c r="J300" s="357">
        <f>IF(Report!$G$4=C300,1,IF(Report!$H$4=C300,1,0))</f>
        <v>0</v>
      </c>
      <c r="K300" s="358">
        <f>SUM($J$25:J300)</f>
        <v>0</v>
      </c>
      <c r="L300" s="359"/>
    </row>
    <row r="301" spans="1:12" x14ac:dyDescent="0.35">
      <c r="A301" s="340" t="str">
        <f>IF(OR(C301&gt;Report!$H$4,C301&lt;Report!$G$4),"",IF(OR(J301*K301=1,K301-J301=1),'!'!$GJ$14,""))</f>
        <v/>
      </c>
      <c r="B301" s="332">
        <f>IF(A301="",0,COUNTIF($A$25:$A301,'!'!$GJ$14))</f>
        <v>0</v>
      </c>
      <c r="C301" s="330"/>
      <c r="D301" s="328"/>
      <c r="E301" s="329"/>
      <c r="F301" s="329"/>
      <c r="G301" s="329"/>
      <c r="H301" s="329"/>
      <c r="I301" s="339" t="str">
        <f>IF(OR(VLOOKUP(C301,'!'!$GU$24:$HE$390,'!'!HE$17,FALSE)&gt;'!'!$GL$8,VLOOKUP(C301,'!'!$GU$24:$HE$390,'!'!HE$17,FALSE)&lt;'!'!$GL$7+1),"",$I$12)</f>
        <v/>
      </c>
      <c r="J301" s="357">
        <f>IF(Report!$G$4=C301,1,IF(Report!$H$4=C301,1,0))</f>
        <v>0</v>
      </c>
      <c r="K301" s="358">
        <f>SUM($J$25:J301)</f>
        <v>0</v>
      </c>
      <c r="L301" s="359"/>
    </row>
    <row r="302" spans="1:12" x14ac:dyDescent="0.35">
      <c r="A302" s="340" t="str">
        <f>IF(OR(C302&gt;Report!$H$4,C302&lt;Report!$G$4),"",IF(OR(J302*K302=1,K302-J302=1),'!'!$GJ$14,""))</f>
        <v/>
      </c>
      <c r="B302" s="332">
        <f>IF(A302="",0,COUNTIF($A$25:$A302,'!'!$GJ$14))</f>
        <v>0</v>
      </c>
      <c r="C302" s="330"/>
      <c r="D302" s="328"/>
      <c r="E302" s="329"/>
      <c r="F302" s="329"/>
      <c r="G302" s="329"/>
      <c r="H302" s="329"/>
      <c r="I302" s="339" t="str">
        <f>IF(OR(VLOOKUP(C302,'!'!$GU$24:$HE$390,'!'!HE$17,FALSE)&gt;'!'!$GL$8,VLOOKUP(C302,'!'!$GU$24:$HE$390,'!'!HE$17,FALSE)&lt;'!'!$GL$7+1),"",$I$12)</f>
        <v/>
      </c>
      <c r="J302" s="357">
        <f>IF(Report!$G$4=C302,1,IF(Report!$H$4=C302,1,0))</f>
        <v>0</v>
      </c>
      <c r="K302" s="358">
        <f>SUM($J$25:J302)</f>
        <v>0</v>
      </c>
      <c r="L302" s="359"/>
    </row>
    <row r="303" spans="1:12" x14ac:dyDescent="0.35">
      <c r="A303" s="340" t="str">
        <f>IF(OR(C303&gt;Report!$H$4,C303&lt;Report!$G$4),"",IF(OR(J303*K303=1,K303-J303=1),'!'!$GJ$14,""))</f>
        <v/>
      </c>
      <c r="B303" s="332">
        <f>IF(A303="",0,COUNTIF($A$25:$A303,'!'!$GJ$14))</f>
        <v>0</v>
      </c>
      <c r="C303" s="330"/>
      <c r="D303" s="328"/>
      <c r="E303" s="329"/>
      <c r="F303" s="329"/>
      <c r="G303" s="329"/>
      <c r="H303" s="329"/>
      <c r="I303" s="339" t="str">
        <f>IF(OR(VLOOKUP(C303,'!'!$GU$24:$HE$390,'!'!HE$17,FALSE)&gt;'!'!$GL$8,VLOOKUP(C303,'!'!$GU$24:$HE$390,'!'!HE$17,FALSE)&lt;'!'!$GL$7+1),"",$I$12)</f>
        <v/>
      </c>
      <c r="J303" s="357">
        <f>IF(Report!$G$4=C303,1,IF(Report!$H$4=C303,1,0))</f>
        <v>0</v>
      </c>
      <c r="K303" s="358">
        <f>SUM($J$25:J303)</f>
        <v>0</v>
      </c>
      <c r="L303" s="359"/>
    </row>
    <row r="304" spans="1:12" x14ac:dyDescent="0.35">
      <c r="A304" s="340" t="str">
        <f>IF(OR(C304&gt;Report!$H$4,C304&lt;Report!$G$4),"",IF(OR(J304*K304=1,K304-J304=1),'!'!$GJ$14,""))</f>
        <v/>
      </c>
      <c r="B304" s="332">
        <f>IF(A304="",0,COUNTIF($A$25:$A304,'!'!$GJ$14))</f>
        <v>0</v>
      </c>
      <c r="C304" s="330"/>
      <c r="D304" s="328"/>
      <c r="E304" s="329"/>
      <c r="F304" s="329"/>
      <c r="G304" s="329"/>
      <c r="H304" s="329"/>
      <c r="I304" s="339" t="str">
        <f>IF(OR(VLOOKUP(C304,'!'!$GU$24:$HE$390,'!'!HE$17,FALSE)&gt;'!'!$GL$8,VLOOKUP(C304,'!'!$GU$24:$HE$390,'!'!HE$17,FALSE)&lt;'!'!$GL$7+1),"",$I$12)</f>
        <v/>
      </c>
      <c r="J304" s="357">
        <f>IF(Report!$G$4=C304,1,IF(Report!$H$4=C304,1,0))</f>
        <v>0</v>
      </c>
      <c r="K304" s="358">
        <f>SUM($J$25:J304)</f>
        <v>0</v>
      </c>
      <c r="L304" s="359"/>
    </row>
    <row r="305" spans="1:12" x14ac:dyDescent="0.35">
      <c r="A305" s="340" t="str">
        <f>IF(OR(C305&gt;Report!$H$4,C305&lt;Report!$G$4),"",IF(OR(J305*K305=1,K305-J305=1),'!'!$GJ$14,""))</f>
        <v/>
      </c>
      <c r="B305" s="332">
        <f>IF(A305="",0,COUNTIF($A$25:$A305,'!'!$GJ$14))</f>
        <v>0</v>
      </c>
      <c r="C305" s="330"/>
      <c r="D305" s="328"/>
      <c r="E305" s="329"/>
      <c r="F305" s="329"/>
      <c r="G305" s="329"/>
      <c r="H305" s="329"/>
      <c r="I305" s="339" t="str">
        <f>IF(OR(VLOOKUP(C305,'!'!$GU$24:$HE$390,'!'!HE$17,FALSE)&gt;'!'!$GL$8,VLOOKUP(C305,'!'!$GU$24:$HE$390,'!'!HE$17,FALSE)&lt;'!'!$GL$7+1),"",$I$12)</f>
        <v/>
      </c>
      <c r="J305" s="357">
        <f>IF(Report!$G$4=C305,1,IF(Report!$H$4=C305,1,0))</f>
        <v>0</v>
      </c>
      <c r="K305" s="358">
        <f>SUM($J$25:J305)</f>
        <v>0</v>
      </c>
      <c r="L305" s="359"/>
    </row>
    <row r="306" spans="1:12" x14ac:dyDescent="0.35">
      <c r="A306" s="340" t="str">
        <f>IF(OR(C306&gt;Report!$H$4,C306&lt;Report!$G$4),"",IF(OR(J306*K306=1,K306-J306=1),'!'!$GJ$14,""))</f>
        <v/>
      </c>
      <c r="B306" s="332">
        <f>IF(A306="",0,COUNTIF($A$25:$A306,'!'!$GJ$14))</f>
        <v>0</v>
      </c>
      <c r="C306" s="330"/>
      <c r="D306" s="328"/>
      <c r="E306" s="329"/>
      <c r="F306" s="329"/>
      <c r="G306" s="329"/>
      <c r="H306" s="329"/>
      <c r="I306" s="339" t="str">
        <f>IF(OR(VLOOKUP(C306,'!'!$GU$24:$HE$390,'!'!HE$17,FALSE)&gt;'!'!$GL$8,VLOOKUP(C306,'!'!$GU$24:$HE$390,'!'!HE$17,FALSE)&lt;'!'!$GL$7+1),"",$I$12)</f>
        <v/>
      </c>
      <c r="J306" s="357">
        <f>IF(Report!$G$4=C306,1,IF(Report!$H$4=C306,1,0))</f>
        <v>0</v>
      </c>
      <c r="K306" s="358">
        <f>SUM($J$25:J306)</f>
        <v>0</v>
      </c>
      <c r="L306" s="359"/>
    </row>
    <row r="307" spans="1:12" x14ac:dyDescent="0.35">
      <c r="A307" s="340" t="str">
        <f>IF(OR(C307&gt;Report!$H$4,C307&lt;Report!$G$4),"",IF(OR(J307*K307=1,K307-J307=1),'!'!$GJ$14,""))</f>
        <v/>
      </c>
      <c r="B307" s="332">
        <f>IF(A307="",0,COUNTIF($A$25:$A307,'!'!$GJ$14))</f>
        <v>0</v>
      </c>
      <c r="C307" s="330"/>
      <c r="D307" s="328"/>
      <c r="E307" s="329"/>
      <c r="F307" s="329"/>
      <c r="G307" s="329"/>
      <c r="H307" s="329"/>
      <c r="I307" s="339" t="str">
        <f>IF(OR(VLOOKUP(C307,'!'!$GU$24:$HE$390,'!'!HE$17,FALSE)&gt;'!'!$GL$8,VLOOKUP(C307,'!'!$GU$24:$HE$390,'!'!HE$17,FALSE)&lt;'!'!$GL$7+1),"",$I$12)</f>
        <v/>
      </c>
      <c r="J307" s="357">
        <f>IF(Report!$G$4=C307,1,IF(Report!$H$4=C307,1,0))</f>
        <v>0</v>
      </c>
      <c r="K307" s="358">
        <f>SUM($J$25:J307)</f>
        <v>0</v>
      </c>
      <c r="L307" s="359"/>
    </row>
    <row r="308" spans="1:12" x14ac:dyDescent="0.35">
      <c r="A308" s="340" t="str">
        <f>IF(OR(C308&gt;Report!$H$4,C308&lt;Report!$G$4),"",IF(OR(J308*K308=1,K308-J308=1),'!'!$GJ$14,""))</f>
        <v/>
      </c>
      <c r="B308" s="332">
        <f>IF(A308="",0,COUNTIF($A$25:$A308,'!'!$GJ$14))</f>
        <v>0</v>
      </c>
      <c r="C308" s="330"/>
      <c r="D308" s="328"/>
      <c r="E308" s="329"/>
      <c r="F308" s="329"/>
      <c r="G308" s="329"/>
      <c r="H308" s="329"/>
      <c r="I308" s="339" t="str">
        <f>IF(OR(VLOOKUP(C308,'!'!$GU$24:$HE$390,'!'!HE$17,FALSE)&gt;'!'!$GL$8,VLOOKUP(C308,'!'!$GU$24:$HE$390,'!'!HE$17,FALSE)&lt;'!'!$GL$7+1),"",$I$12)</f>
        <v/>
      </c>
      <c r="J308" s="357">
        <f>IF(Report!$G$4=C308,1,IF(Report!$H$4=C308,1,0))</f>
        <v>0</v>
      </c>
      <c r="K308" s="358">
        <f>SUM($J$25:J308)</f>
        <v>0</v>
      </c>
      <c r="L308" s="359"/>
    </row>
    <row r="309" spans="1:12" x14ac:dyDescent="0.35">
      <c r="A309" s="340" t="str">
        <f>IF(OR(C309&gt;Report!$H$4,C309&lt;Report!$G$4),"",IF(OR(J309*K309=1,K309-J309=1),'!'!$GJ$14,""))</f>
        <v/>
      </c>
      <c r="B309" s="332">
        <f>IF(A309="",0,COUNTIF($A$25:$A309,'!'!$GJ$14))</f>
        <v>0</v>
      </c>
      <c r="C309" s="330"/>
      <c r="D309" s="328"/>
      <c r="E309" s="329"/>
      <c r="F309" s="329"/>
      <c r="G309" s="329"/>
      <c r="H309" s="329"/>
      <c r="I309" s="339" t="str">
        <f>IF(OR(VLOOKUP(C309,'!'!$GU$24:$HE$390,'!'!HE$17,FALSE)&gt;'!'!$GL$8,VLOOKUP(C309,'!'!$GU$24:$HE$390,'!'!HE$17,FALSE)&lt;'!'!$GL$7+1),"",$I$12)</f>
        <v/>
      </c>
      <c r="J309" s="357">
        <f>IF(Report!$G$4=C309,1,IF(Report!$H$4=C309,1,0))</f>
        <v>0</v>
      </c>
      <c r="K309" s="358">
        <f>SUM($J$25:J309)</f>
        <v>0</v>
      </c>
      <c r="L309" s="359"/>
    </row>
    <row r="310" spans="1:12" x14ac:dyDescent="0.35">
      <c r="A310" s="340" t="str">
        <f>IF(OR(C310&gt;Report!$H$4,C310&lt;Report!$G$4),"",IF(OR(J310*K310=1,K310-J310=1),'!'!$GJ$14,""))</f>
        <v/>
      </c>
      <c r="B310" s="332">
        <f>IF(A310="",0,COUNTIF($A$25:$A310,'!'!$GJ$14))</f>
        <v>0</v>
      </c>
      <c r="C310" s="330"/>
      <c r="D310" s="328"/>
      <c r="E310" s="329"/>
      <c r="F310" s="329"/>
      <c r="G310" s="329"/>
      <c r="H310" s="329"/>
      <c r="I310" s="339" t="str">
        <f>IF(OR(VLOOKUP(C310,'!'!$GU$24:$HE$390,'!'!HE$17,FALSE)&gt;'!'!$GL$8,VLOOKUP(C310,'!'!$GU$24:$HE$390,'!'!HE$17,FALSE)&lt;'!'!$GL$7+1),"",$I$12)</f>
        <v/>
      </c>
      <c r="J310" s="357">
        <f>IF(Report!$G$4=C310,1,IF(Report!$H$4=C310,1,0))</f>
        <v>0</v>
      </c>
      <c r="K310" s="358">
        <f>SUM($J$25:J310)</f>
        <v>0</v>
      </c>
      <c r="L310" s="359"/>
    </row>
    <row r="311" spans="1:12" x14ac:dyDescent="0.35">
      <c r="A311" s="340" t="str">
        <f>IF(OR(C311&gt;Report!$H$4,C311&lt;Report!$G$4),"",IF(OR(J311*K311=1,K311-J311=1),'!'!$GJ$14,""))</f>
        <v/>
      </c>
      <c r="B311" s="332">
        <f>IF(A311="",0,COUNTIF($A$25:$A311,'!'!$GJ$14))</f>
        <v>0</v>
      </c>
      <c r="C311" s="330"/>
      <c r="D311" s="328"/>
      <c r="E311" s="329"/>
      <c r="F311" s="329"/>
      <c r="G311" s="329"/>
      <c r="H311" s="329"/>
      <c r="I311" s="339" t="str">
        <f>IF(OR(VLOOKUP(C311,'!'!$GU$24:$HE$390,'!'!HE$17,FALSE)&gt;'!'!$GL$8,VLOOKUP(C311,'!'!$GU$24:$HE$390,'!'!HE$17,FALSE)&lt;'!'!$GL$7+1),"",$I$12)</f>
        <v/>
      </c>
      <c r="J311" s="357">
        <f>IF(Report!$G$4=C311,1,IF(Report!$H$4=C311,1,0))</f>
        <v>0</v>
      </c>
      <c r="K311" s="358">
        <f>SUM($J$25:J311)</f>
        <v>0</v>
      </c>
      <c r="L311" s="359"/>
    </row>
    <row r="312" spans="1:12" x14ac:dyDescent="0.35">
      <c r="A312" s="340" t="str">
        <f>IF(OR(C312&gt;Report!$H$4,C312&lt;Report!$G$4),"",IF(OR(J312*K312=1,K312-J312=1),'!'!$GJ$14,""))</f>
        <v/>
      </c>
      <c r="B312" s="332">
        <f>IF(A312="",0,COUNTIF($A$25:$A312,'!'!$GJ$14))</f>
        <v>0</v>
      </c>
      <c r="C312" s="330"/>
      <c r="D312" s="328"/>
      <c r="E312" s="329"/>
      <c r="F312" s="329"/>
      <c r="G312" s="329"/>
      <c r="H312" s="329"/>
      <c r="I312" s="339" t="str">
        <f>IF(OR(VLOOKUP(C312,'!'!$GU$24:$HE$390,'!'!HE$17,FALSE)&gt;'!'!$GL$8,VLOOKUP(C312,'!'!$GU$24:$HE$390,'!'!HE$17,FALSE)&lt;'!'!$GL$7+1),"",$I$12)</f>
        <v/>
      </c>
      <c r="J312" s="357">
        <f>IF(Report!$G$4=C312,1,IF(Report!$H$4=C312,1,0))</f>
        <v>0</v>
      </c>
      <c r="K312" s="358">
        <f>SUM($J$25:J312)</f>
        <v>0</v>
      </c>
      <c r="L312" s="359"/>
    </row>
    <row r="313" spans="1:12" x14ac:dyDescent="0.35">
      <c r="A313" s="340" t="str">
        <f>IF(OR(C313&gt;Report!$H$4,C313&lt;Report!$G$4),"",IF(OR(J313*K313=1,K313-J313=1),'!'!$GJ$14,""))</f>
        <v/>
      </c>
      <c r="B313" s="332">
        <f>IF(A313="",0,COUNTIF($A$25:$A313,'!'!$GJ$14))</f>
        <v>0</v>
      </c>
      <c r="C313" s="330"/>
      <c r="D313" s="328"/>
      <c r="E313" s="329"/>
      <c r="F313" s="329"/>
      <c r="G313" s="329"/>
      <c r="H313" s="329"/>
      <c r="I313" s="339" t="str">
        <f>IF(OR(VLOOKUP(C313,'!'!$GU$24:$HE$390,'!'!HE$17,FALSE)&gt;'!'!$GL$8,VLOOKUP(C313,'!'!$GU$24:$HE$390,'!'!HE$17,FALSE)&lt;'!'!$GL$7+1),"",$I$12)</f>
        <v/>
      </c>
      <c r="J313" s="357">
        <f>IF(Report!$G$4=C313,1,IF(Report!$H$4=C313,1,0))</f>
        <v>0</v>
      </c>
      <c r="K313" s="358">
        <f>SUM($J$25:J313)</f>
        <v>0</v>
      </c>
      <c r="L313" s="359"/>
    </row>
    <row r="314" spans="1:12" x14ac:dyDescent="0.35">
      <c r="A314" s="340" t="str">
        <f>IF(OR(C314&gt;Report!$H$4,C314&lt;Report!$G$4),"",IF(OR(J314*K314=1,K314-J314=1),'!'!$GJ$14,""))</f>
        <v/>
      </c>
      <c r="B314" s="332">
        <f>IF(A314="",0,COUNTIF($A$25:$A314,'!'!$GJ$14))</f>
        <v>0</v>
      </c>
      <c r="C314" s="330"/>
      <c r="D314" s="328"/>
      <c r="E314" s="329"/>
      <c r="F314" s="329"/>
      <c r="G314" s="329"/>
      <c r="H314" s="329"/>
      <c r="I314" s="339" t="str">
        <f>IF(OR(VLOOKUP(C314,'!'!$GU$24:$HE$390,'!'!HE$17,FALSE)&gt;'!'!$GL$8,VLOOKUP(C314,'!'!$GU$24:$HE$390,'!'!HE$17,FALSE)&lt;'!'!$GL$7+1),"",$I$12)</f>
        <v/>
      </c>
      <c r="J314" s="357">
        <f>IF(Report!$G$4=C314,1,IF(Report!$H$4=C314,1,0))</f>
        <v>0</v>
      </c>
      <c r="K314" s="358">
        <f>SUM($J$25:J314)</f>
        <v>0</v>
      </c>
      <c r="L314" s="359"/>
    </row>
    <row r="315" spans="1:12" x14ac:dyDescent="0.35">
      <c r="A315" s="340" t="str">
        <f>IF(OR(C315&gt;Report!$H$4,C315&lt;Report!$G$4),"",IF(OR(J315*K315=1,K315-J315=1),'!'!$GJ$14,""))</f>
        <v/>
      </c>
      <c r="B315" s="332">
        <f>IF(A315="",0,COUNTIF($A$25:$A315,'!'!$GJ$14))</f>
        <v>0</v>
      </c>
      <c r="C315" s="330"/>
      <c r="D315" s="328"/>
      <c r="E315" s="329"/>
      <c r="F315" s="329"/>
      <c r="G315" s="329"/>
      <c r="H315" s="329"/>
      <c r="I315" s="339" t="str">
        <f>IF(OR(VLOOKUP(C315,'!'!$GU$24:$HE$390,'!'!HE$17,FALSE)&gt;'!'!$GL$8,VLOOKUP(C315,'!'!$GU$24:$HE$390,'!'!HE$17,FALSE)&lt;'!'!$GL$7+1),"",$I$12)</f>
        <v/>
      </c>
      <c r="J315" s="357">
        <f>IF(Report!$G$4=C315,1,IF(Report!$H$4=C315,1,0))</f>
        <v>0</v>
      </c>
      <c r="K315" s="358">
        <f>SUM($J$25:J315)</f>
        <v>0</v>
      </c>
      <c r="L315" s="359"/>
    </row>
    <row r="316" spans="1:12" x14ac:dyDescent="0.35">
      <c r="A316" s="340" t="str">
        <f>IF(OR(C316&gt;Report!$H$4,C316&lt;Report!$G$4),"",IF(OR(J316*K316=1,K316-J316=1),'!'!$GJ$14,""))</f>
        <v/>
      </c>
      <c r="B316" s="332">
        <f>IF(A316="",0,COUNTIF($A$25:$A316,'!'!$GJ$14))</f>
        <v>0</v>
      </c>
      <c r="C316" s="330"/>
      <c r="D316" s="328"/>
      <c r="E316" s="329"/>
      <c r="F316" s="329"/>
      <c r="G316" s="329"/>
      <c r="H316" s="329"/>
      <c r="I316" s="339" t="str">
        <f>IF(OR(VLOOKUP(C316,'!'!$GU$24:$HE$390,'!'!HE$17,FALSE)&gt;'!'!$GL$8,VLOOKUP(C316,'!'!$GU$24:$HE$390,'!'!HE$17,FALSE)&lt;'!'!$GL$7+1),"",$I$12)</f>
        <v/>
      </c>
      <c r="J316" s="357">
        <f>IF(Report!$G$4=C316,1,IF(Report!$H$4=C316,1,0))</f>
        <v>0</v>
      </c>
      <c r="K316" s="358">
        <f>SUM($J$25:J316)</f>
        <v>0</v>
      </c>
      <c r="L316" s="359"/>
    </row>
    <row r="317" spans="1:12" x14ac:dyDescent="0.35">
      <c r="A317" s="340" t="str">
        <f>IF(OR(C317&gt;Report!$H$4,C317&lt;Report!$G$4),"",IF(OR(J317*K317=1,K317-J317=1),'!'!$GJ$14,""))</f>
        <v/>
      </c>
      <c r="B317" s="332">
        <f>IF(A317="",0,COUNTIF($A$25:$A317,'!'!$GJ$14))</f>
        <v>0</v>
      </c>
      <c r="C317" s="330"/>
      <c r="D317" s="328"/>
      <c r="E317" s="329"/>
      <c r="F317" s="329"/>
      <c r="G317" s="329"/>
      <c r="H317" s="329"/>
      <c r="I317" s="339" t="str">
        <f>IF(OR(VLOOKUP(C317,'!'!$GU$24:$HE$390,'!'!HE$17,FALSE)&gt;'!'!$GL$8,VLOOKUP(C317,'!'!$GU$24:$HE$390,'!'!HE$17,FALSE)&lt;'!'!$GL$7+1),"",$I$12)</f>
        <v/>
      </c>
      <c r="J317" s="357">
        <f>IF(Report!$G$4=C317,1,IF(Report!$H$4=C317,1,0))</f>
        <v>0</v>
      </c>
      <c r="K317" s="358">
        <f>SUM($J$25:J317)</f>
        <v>0</v>
      </c>
      <c r="L317" s="359"/>
    </row>
    <row r="318" spans="1:12" x14ac:dyDescent="0.35">
      <c r="A318" s="340" t="str">
        <f>IF(OR(C318&gt;Report!$H$4,C318&lt;Report!$G$4),"",IF(OR(J318*K318=1,K318-J318=1),'!'!$GJ$14,""))</f>
        <v/>
      </c>
      <c r="B318" s="332">
        <f>IF(A318="",0,COUNTIF($A$25:$A318,'!'!$GJ$14))</f>
        <v>0</v>
      </c>
      <c r="C318" s="330"/>
      <c r="D318" s="328"/>
      <c r="E318" s="329"/>
      <c r="F318" s="329"/>
      <c r="G318" s="329"/>
      <c r="H318" s="329"/>
      <c r="I318" s="339" t="str">
        <f>IF(OR(VLOOKUP(C318,'!'!$GU$24:$HE$390,'!'!HE$17,FALSE)&gt;'!'!$GL$8,VLOOKUP(C318,'!'!$GU$24:$HE$390,'!'!HE$17,FALSE)&lt;'!'!$GL$7+1),"",$I$12)</f>
        <v/>
      </c>
      <c r="J318" s="357">
        <f>IF(Report!$G$4=C318,1,IF(Report!$H$4=C318,1,0))</f>
        <v>0</v>
      </c>
      <c r="K318" s="358">
        <f>SUM($J$25:J318)</f>
        <v>0</v>
      </c>
      <c r="L318" s="359"/>
    </row>
    <row r="319" spans="1:12" x14ac:dyDescent="0.35">
      <c r="A319" s="340" t="str">
        <f>IF(OR(C319&gt;Report!$H$4,C319&lt;Report!$G$4),"",IF(OR(J319*K319=1,K319-J319=1),'!'!$GJ$14,""))</f>
        <v/>
      </c>
      <c r="B319" s="332">
        <f>IF(A319="",0,COUNTIF($A$25:$A319,'!'!$GJ$14))</f>
        <v>0</v>
      </c>
      <c r="C319" s="330"/>
      <c r="D319" s="328"/>
      <c r="E319" s="329"/>
      <c r="F319" s="329"/>
      <c r="G319" s="329"/>
      <c r="H319" s="329"/>
      <c r="I319" s="339" t="str">
        <f>IF(OR(VLOOKUP(C319,'!'!$GU$24:$HE$390,'!'!HE$17,FALSE)&gt;'!'!$GL$8,VLOOKUP(C319,'!'!$GU$24:$HE$390,'!'!HE$17,FALSE)&lt;'!'!$GL$7+1),"",$I$12)</f>
        <v/>
      </c>
      <c r="J319" s="357">
        <f>IF(Report!$G$4=C319,1,IF(Report!$H$4=C319,1,0))</f>
        <v>0</v>
      </c>
      <c r="K319" s="358">
        <f>SUM($J$25:J319)</f>
        <v>0</v>
      </c>
      <c r="L319" s="359"/>
    </row>
    <row r="320" spans="1:12" x14ac:dyDescent="0.35">
      <c r="A320" s="340" t="str">
        <f>IF(OR(C320&gt;Report!$H$4,C320&lt;Report!$G$4),"",IF(OR(J320*K320=1,K320-J320=1),'!'!$GJ$14,""))</f>
        <v/>
      </c>
      <c r="B320" s="332">
        <f>IF(A320="",0,COUNTIF($A$25:$A320,'!'!$GJ$14))</f>
        <v>0</v>
      </c>
      <c r="C320" s="330"/>
      <c r="D320" s="328"/>
      <c r="E320" s="329"/>
      <c r="F320" s="329"/>
      <c r="G320" s="329"/>
      <c r="H320" s="329"/>
      <c r="I320" s="339" t="str">
        <f>IF(OR(VLOOKUP(C320,'!'!$GU$24:$HE$390,'!'!HE$17,FALSE)&gt;'!'!$GL$8,VLOOKUP(C320,'!'!$GU$24:$HE$390,'!'!HE$17,FALSE)&lt;'!'!$GL$7+1),"",$I$12)</f>
        <v/>
      </c>
      <c r="J320" s="357">
        <f>IF(Report!$G$4=C320,1,IF(Report!$H$4=C320,1,0))</f>
        <v>0</v>
      </c>
      <c r="K320" s="358">
        <f>SUM($J$25:J320)</f>
        <v>0</v>
      </c>
      <c r="L320" s="359"/>
    </row>
    <row r="321" spans="1:12" x14ac:dyDescent="0.35">
      <c r="A321" s="340" t="str">
        <f>IF(OR(C321&gt;Report!$H$4,C321&lt;Report!$G$4),"",IF(OR(J321*K321=1,K321-J321=1),'!'!$GJ$14,""))</f>
        <v/>
      </c>
      <c r="B321" s="332">
        <f>IF(A321="",0,COUNTIF($A$25:$A321,'!'!$GJ$14))</f>
        <v>0</v>
      </c>
      <c r="C321" s="330"/>
      <c r="D321" s="328"/>
      <c r="E321" s="329"/>
      <c r="F321" s="329"/>
      <c r="G321" s="329"/>
      <c r="H321" s="329"/>
      <c r="I321" s="339" t="str">
        <f>IF(OR(VLOOKUP(C321,'!'!$GU$24:$HE$390,'!'!HE$17,FALSE)&gt;'!'!$GL$8,VLOOKUP(C321,'!'!$GU$24:$HE$390,'!'!HE$17,FALSE)&lt;'!'!$GL$7+1),"",$I$12)</f>
        <v/>
      </c>
      <c r="J321" s="357">
        <f>IF(Report!$G$4=C321,1,IF(Report!$H$4=C321,1,0))</f>
        <v>0</v>
      </c>
      <c r="K321" s="358">
        <f>SUM($J$25:J321)</f>
        <v>0</v>
      </c>
      <c r="L321" s="359"/>
    </row>
    <row r="322" spans="1:12" x14ac:dyDescent="0.35">
      <c r="A322" s="340" t="str">
        <f>IF(OR(C322&gt;Report!$H$4,C322&lt;Report!$G$4),"",IF(OR(J322*K322=1,K322-J322=1),'!'!$GJ$14,""))</f>
        <v/>
      </c>
      <c r="B322" s="332">
        <f>IF(A322="",0,COUNTIF($A$25:$A322,'!'!$GJ$14))</f>
        <v>0</v>
      </c>
      <c r="C322" s="330"/>
      <c r="D322" s="328"/>
      <c r="E322" s="329"/>
      <c r="F322" s="329"/>
      <c r="G322" s="329"/>
      <c r="H322" s="329"/>
      <c r="I322" s="339" t="str">
        <f>IF(OR(VLOOKUP(C322,'!'!$GU$24:$HE$390,'!'!HE$17,FALSE)&gt;'!'!$GL$8,VLOOKUP(C322,'!'!$GU$24:$HE$390,'!'!HE$17,FALSE)&lt;'!'!$GL$7+1),"",$I$12)</f>
        <v/>
      </c>
      <c r="J322" s="357">
        <f>IF(Report!$G$4=C322,1,IF(Report!$H$4=C322,1,0))</f>
        <v>0</v>
      </c>
      <c r="K322" s="358">
        <f>SUM($J$25:J322)</f>
        <v>0</v>
      </c>
      <c r="L322" s="359"/>
    </row>
    <row r="323" spans="1:12" x14ac:dyDescent="0.35">
      <c r="A323" s="340" t="str">
        <f>IF(OR(C323&gt;Report!$H$4,C323&lt;Report!$G$4),"",IF(OR(J323*K323=1,K323-J323=1),'!'!$GJ$14,""))</f>
        <v/>
      </c>
      <c r="B323" s="332">
        <f>IF(A323="",0,COUNTIF($A$25:$A323,'!'!$GJ$14))</f>
        <v>0</v>
      </c>
      <c r="C323" s="330"/>
      <c r="D323" s="328"/>
      <c r="E323" s="329"/>
      <c r="F323" s="329"/>
      <c r="G323" s="329"/>
      <c r="H323" s="329"/>
      <c r="I323" s="339" t="str">
        <f>IF(OR(VLOOKUP(C323,'!'!$GU$24:$HE$390,'!'!HE$17,FALSE)&gt;'!'!$GL$8,VLOOKUP(C323,'!'!$GU$24:$HE$390,'!'!HE$17,FALSE)&lt;'!'!$GL$7+1),"",$I$12)</f>
        <v/>
      </c>
      <c r="J323" s="357">
        <f>IF(Report!$G$4=C323,1,IF(Report!$H$4=C323,1,0))</f>
        <v>0</v>
      </c>
      <c r="K323" s="358">
        <f>SUM($J$25:J323)</f>
        <v>0</v>
      </c>
      <c r="L323" s="359"/>
    </row>
    <row r="324" spans="1:12" x14ac:dyDescent="0.35">
      <c r="A324" s="340" t="str">
        <f>IF(OR(C324&gt;Report!$H$4,C324&lt;Report!$G$4),"",IF(OR(J324*K324=1,K324-J324=1),'!'!$GJ$14,""))</f>
        <v/>
      </c>
      <c r="B324" s="332">
        <f>IF(A324="",0,COUNTIF($A$25:$A324,'!'!$GJ$14))</f>
        <v>0</v>
      </c>
      <c r="C324" s="330"/>
      <c r="D324" s="328"/>
      <c r="E324" s="329"/>
      <c r="F324" s="329"/>
      <c r="G324" s="329"/>
      <c r="H324" s="329"/>
      <c r="I324" s="339" t="str">
        <f>IF(OR(VLOOKUP(C324,'!'!$GU$24:$HE$390,'!'!HE$17,FALSE)&gt;'!'!$GL$8,VLOOKUP(C324,'!'!$GU$24:$HE$390,'!'!HE$17,FALSE)&lt;'!'!$GL$7+1),"",$I$12)</f>
        <v/>
      </c>
      <c r="J324" s="357">
        <f>IF(Report!$G$4=C324,1,IF(Report!$H$4=C324,1,0))</f>
        <v>0</v>
      </c>
      <c r="K324" s="358">
        <f>SUM($J$25:J324)</f>
        <v>0</v>
      </c>
      <c r="L324" s="359"/>
    </row>
    <row r="325" spans="1:12" x14ac:dyDescent="0.35">
      <c r="A325" s="340" t="str">
        <f>IF(OR(C325&gt;Report!$H$4,C325&lt;Report!$G$4),"",IF(OR(J325*K325=1,K325-J325=1),'!'!$GJ$14,""))</f>
        <v/>
      </c>
      <c r="B325" s="332">
        <f>IF(A325="",0,COUNTIF($A$25:$A325,'!'!$GJ$14))</f>
        <v>0</v>
      </c>
      <c r="C325" s="330"/>
      <c r="D325" s="328"/>
      <c r="E325" s="329"/>
      <c r="F325" s="329"/>
      <c r="G325" s="329"/>
      <c r="H325" s="329"/>
      <c r="I325" s="339" t="str">
        <f>IF(OR(VLOOKUP(C325,'!'!$GU$24:$HE$390,'!'!HE$17,FALSE)&gt;'!'!$GL$8,VLOOKUP(C325,'!'!$GU$24:$HE$390,'!'!HE$17,FALSE)&lt;'!'!$GL$7+1),"",$I$12)</f>
        <v/>
      </c>
      <c r="J325" s="357">
        <f>IF(Report!$G$4=C325,1,IF(Report!$H$4=C325,1,0))</f>
        <v>0</v>
      </c>
      <c r="K325" s="358">
        <f>SUM($J$25:J325)</f>
        <v>0</v>
      </c>
      <c r="L325" s="359"/>
    </row>
    <row r="326" spans="1:12" x14ac:dyDescent="0.35">
      <c r="A326" s="340" t="str">
        <f>IF(OR(C326&gt;Report!$H$4,C326&lt;Report!$G$4),"",IF(OR(J326*K326=1,K326-J326=1),'!'!$GJ$14,""))</f>
        <v/>
      </c>
      <c r="B326" s="332">
        <f>IF(A326="",0,COUNTIF($A$25:$A326,'!'!$GJ$14))</f>
        <v>0</v>
      </c>
      <c r="C326" s="330"/>
      <c r="D326" s="328"/>
      <c r="E326" s="329"/>
      <c r="F326" s="329"/>
      <c r="G326" s="329"/>
      <c r="H326" s="329"/>
      <c r="I326" s="339" t="str">
        <f>IF(OR(VLOOKUP(C326,'!'!$GU$24:$HE$390,'!'!HE$17,FALSE)&gt;'!'!$GL$8,VLOOKUP(C326,'!'!$GU$24:$HE$390,'!'!HE$17,FALSE)&lt;'!'!$GL$7+1),"",$I$12)</f>
        <v/>
      </c>
      <c r="J326" s="357">
        <f>IF(Report!$G$4=C326,1,IF(Report!$H$4=C326,1,0))</f>
        <v>0</v>
      </c>
      <c r="K326" s="358">
        <f>SUM($J$25:J326)</f>
        <v>0</v>
      </c>
      <c r="L326" s="359"/>
    </row>
    <row r="327" spans="1:12" x14ac:dyDescent="0.35">
      <c r="A327" s="340" t="str">
        <f>IF(OR(C327&gt;Report!$H$4,C327&lt;Report!$G$4),"",IF(OR(J327*K327=1,K327-J327=1),'!'!$GJ$14,""))</f>
        <v/>
      </c>
      <c r="B327" s="332">
        <f>IF(A327="",0,COUNTIF($A$25:$A327,'!'!$GJ$14))</f>
        <v>0</v>
      </c>
      <c r="C327" s="330"/>
      <c r="D327" s="328"/>
      <c r="E327" s="329"/>
      <c r="F327" s="329"/>
      <c r="G327" s="329"/>
      <c r="H327" s="329"/>
      <c r="I327" s="339" t="str">
        <f>IF(OR(VLOOKUP(C327,'!'!$GU$24:$HE$390,'!'!HE$17,FALSE)&gt;'!'!$GL$8,VLOOKUP(C327,'!'!$GU$24:$HE$390,'!'!HE$17,FALSE)&lt;'!'!$GL$7+1),"",$I$12)</f>
        <v/>
      </c>
      <c r="J327" s="357">
        <f>IF(Report!$G$4=C327,1,IF(Report!$H$4=C327,1,0))</f>
        <v>0</v>
      </c>
      <c r="K327" s="358">
        <f>SUM($J$25:J327)</f>
        <v>0</v>
      </c>
      <c r="L327" s="359"/>
    </row>
    <row r="328" spans="1:12" x14ac:dyDescent="0.35">
      <c r="A328" s="340" t="str">
        <f>IF(OR(C328&gt;Report!$H$4,C328&lt;Report!$G$4),"",IF(OR(J328*K328=1,K328-J328=1),'!'!$GJ$14,""))</f>
        <v/>
      </c>
      <c r="B328" s="332">
        <f>IF(A328="",0,COUNTIF($A$25:$A328,'!'!$GJ$14))</f>
        <v>0</v>
      </c>
      <c r="C328" s="330"/>
      <c r="D328" s="328"/>
      <c r="E328" s="329"/>
      <c r="F328" s="329"/>
      <c r="G328" s="329"/>
      <c r="H328" s="329"/>
      <c r="I328" s="339" t="str">
        <f>IF(OR(VLOOKUP(C328,'!'!$GU$24:$HE$390,'!'!HE$17,FALSE)&gt;'!'!$GL$8,VLOOKUP(C328,'!'!$GU$24:$HE$390,'!'!HE$17,FALSE)&lt;'!'!$GL$7+1),"",$I$12)</f>
        <v/>
      </c>
      <c r="J328" s="357">
        <f>IF(Report!$G$4=C328,1,IF(Report!$H$4=C328,1,0))</f>
        <v>0</v>
      </c>
      <c r="K328" s="358">
        <f>SUM($J$25:J328)</f>
        <v>0</v>
      </c>
      <c r="L328" s="359"/>
    </row>
    <row r="329" spans="1:12" x14ac:dyDescent="0.35">
      <c r="A329" s="340" t="str">
        <f>IF(OR(C329&gt;Report!$H$4,C329&lt;Report!$G$4),"",IF(OR(J329*K329=1,K329-J329=1),'!'!$GJ$14,""))</f>
        <v/>
      </c>
      <c r="B329" s="332">
        <f>IF(A329="",0,COUNTIF($A$25:$A329,'!'!$GJ$14))</f>
        <v>0</v>
      </c>
      <c r="C329" s="330"/>
      <c r="D329" s="328"/>
      <c r="E329" s="329"/>
      <c r="F329" s="329"/>
      <c r="G329" s="329"/>
      <c r="H329" s="329"/>
      <c r="I329" s="339" t="str">
        <f>IF(OR(VLOOKUP(C329,'!'!$GU$24:$HE$390,'!'!HE$17,FALSE)&gt;'!'!$GL$8,VLOOKUP(C329,'!'!$GU$24:$HE$390,'!'!HE$17,FALSE)&lt;'!'!$GL$7+1),"",$I$12)</f>
        <v/>
      </c>
      <c r="J329" s="357">
        <f>IF(Report!$G$4=C329,1,IF(Report!$H$4=C329,1,0))</f>
        <v>0</v>
      </c>
      <c r="K329" s="358">
        <f>SUM($J$25:J329)</f>
        <v>0</v>
      </c>
      <c r="L329" s="359"/>
    </row>
    <row r="330" spans="1:12" x14ac:dyDescent="0.35">
      <c r="A330" s="340" t="str">
        <f>IF(OR(C330&gt;Report!$H$4,C330&lt;Report!$G$4),"",IF(OR(J330*K330=1,K330-J330=1),'!'!$GJ$14,""))</f>
        <v/>
      </c>
      <c r="B330" s="332">
        <f>IF(A330="",0,COUNTIF($A$25:$A330,'!'!$GJ$14))</f>
        <v>0</v>
      </c>
      <c r="C330" s="330"/>
      <c r="D330" s="328"/>
      <c r="E330" s="329"/>
      <c r="F330" s="329"/>
      <c r="G330" s="329"/>
      <c r="H330" s="329"/>
      <c r="I330" s="339" t="str">
        <f>IF(OR(VLOOKUP(C330,'!'!$GU$24:$HE$390,'!'!HE$17,FALSE)&gt;'!'!$GL$8,VLOOKUP(C330,'!'!$GU$24:$HE$390,'!'!HE$17,FALSE)&lt;'!'!$GL$7+1),"",$I$12)</f>
        <v/>
      </c>
      <c r="J330" s="357">
        <f>IF(Report!$G$4=C330,1,IF(Report!$H$4=C330,1,0))</f>
        <v>0</v>
      </c>
      <c r="K330" s="358">
        <f>SUM($J$25:J330)</f>
        <v>0</v>
      </c>
      <c r="L330" s="359"/>
    </row>
    <row r="331" spans="1:12" x14ac:dyDescent="0.35">
      <c r="A331" s="340" t="str">
        <f>IF(OR(C331&gt;Report!$H$4,C331&lt;Report!$G$4),"",IF(OR(J331*K331=1,K331-J331=1),'!'!$GJ$14,""))</f>
        <v/>
      </c>
      <c r="B331" s="332">
        <f>IF(A331="",0,COUNTIF($A$25:$A331,'!'!$GJ$14))</f>
        <v>0</v>
      </c>
      <c r="C331" s="330"/>
      <c r="D331" s="328"/>
      <c r="E331" s="329"/>
      <c r="F331" s="329"/>
      <c r="G331" s="329"/>
      <c r="H331" s="329"/>
      <c r="I331" s="339" t="str">
        <f>IF(OR(VLOOKUP(C331,'!'!$GU$24:$HE$390,'!'!HE$17,FALSE)&gt;'!'!$GL$8,VLOOKUP(C331,'!'!$GU$24:$HE$390,'!'!HE$17,FALSE)&lt;'!'!$GL$7+1),"",$I$12)</f>
        <v/>
      </c>
      <c r="J331" s="357">
        <f>IF(Report!$G$4=C331,1,IF(Report!$H$4=C331,1,0))</f>
        <v>0</v>
      </c>
      <c r="K331" s="358">
        <f>SUM($J$25:J331)</f>
        <v>0</v>
      </c>
      <c r="L331" s="359"/>
    </row>
    <row r="332" spans="1:12" x14ac:dyDescent="0.35">
      <c r="A332" s="340" t="str">
        <f>IF(OR(C332&gt;Report!$H$4,C332&lt;Report!$G$4),"",IF(OR(J332*K332=1,K332-J332=1),'!'!$GJ$14,""))</f>
        <v/>
      </c>
      <c r="B332" s="332">
        <f>IF(A332="",0,COUNTIF($A$25:$A332,'!'!$GJ$14))</f>
        <v>0</v>
      </c>
      <c r="C332" s="330"/>
      <c r="D332" s="328"/>
      <c r="E332" s="329"/>
      <c r="F332" s="329"/>
      <c r="G332" s="329"/>
      <c r="H332" s="329"/>
      <c r="I332" s="339" t="str">
        <f>IF(OR(VLOOKUP(C332,'!'!$GU$24:$HE$390,'!'!HE$17,FALSE)&gt;'!'!$GL$8,VLOOKUP(C332,'!'!$GU$24:$HE$390,'!'!HE$17,FALSE)&lt;'!'!$GL$7+1),"",$I$12)</f>
        <v/>
      </c>
      <c r="J332" s="357">
        <f>IF(Report!$G$4=C332,1,IF(Report!$H$4=C332,1,0))</f>
        <v>0</v>
      </c>
      <c r="K332" s="358">
        <f>SUM($J$25:J332)</f>
        <v>0</v>
      </c>
      <c r="L332" s="359"/>
    </row>
    <row r="333" spans="1:12" x14ac:dyDescent="0.35">
      <c r="A333" s="340" t="str">
        <f>IF(OR(C333&gt;Report!$H$4,C333&lt;Report!$G$4),"",IF(OR(J333*K333=1,K333-J333=1),'!'!$GJ$14,""))</f>
        <v/>
      </c>
      <c r="B333" s="332">
        <f>IF(A333="",0,COUNTIF($A$25:$A333,'!'!$GJ$14))</f>
        <v>0</v>
      </c>
      <c r="C333" s="330"/>
      <c r="D333" s="328"/>
      <c r="E333" s="329"/>
      <c r="F333" s="329"/>
      <c r="G333" s="329"/>
      <c r="H333" s="329"/>
      <c r="I333" s="339" t="str">
        <f>IF(OR(VLOOKUP(C333,'!'!$GU$24:$HE$390,'!'!HE$17,FALSE)&gt;'!'!$GL$8,VLOOKUP(C333,'!'!$GU$24:$HE$390,'!'!HE$17,FALSE)&lt;'!'!$GL$7+1),"",$I$12)</f>
        <v/>
      </c>
      <c r="J333" s="357">
        <f>IF(Report!$G$4=C333,1,IF(Report!$H$4=C333,1,0))</f>
        <v>0</v>
      </c>
      <c r="K333" s="358">
        <f>SUM($J$25:J333)</f>
        <v>0</v>
      </c>
      <c r="L333" s="359"/>
    </row>
    <row r="334" spans="1:12" x14ac:dyDescent="0.35">
      <c r="A334" s="340" t="str">
        <f>IF(OR(C334&gt;Report!$H$4,C334&lt;Report!$G$4),"",IF(OR(J334*K334=1,K334-J334=1),'!'!$GJ$14,""))</f>
        <v/>
      </c>
      <c r="B334" s="332">
        <f>IF(A334="",0,COUNTIF($A$25:$A334,'!'!$GJ$14))</f>
        <v>0</v>
      </c>
      <c r="C334" s="330"/>
      <c r="D334" s="328"/>
      <c r="E334" s="329"/>
      <c r="F334" s="329"/>
      <c r="G334" s="329"/>
      <c r="H334" s="329"/>
      <c r="I334" s="339" t="str">
        <f>IF(OR(VLOOKUP(C334,'!'!$GU$24:$HE$390,'!'!HE$17,FALSE)&gt;'!'!$GL$8,VLOOKUP(C334,'!'!$GU$24:$HE$390,'!'!HE$17,FALSE)&lt;'!'!$GL$7+1),"",$I$12)</f>
        <v/>
      </c>
      <c r="J334" s="357">
        <f>IF(Report!$G$4=C334,1,IF(Report!$H$4=C334,1,0))</f>
        <v>0</v>
      </c>
      <c r="K334" s="358">
        <f>SUM($J$25:J334)</f>
        <v>0</v>
      </c>
      <c r="L334" s="359"/>
    </row>
    <row r="335" spans="1:12" x14ac:dyDescent="0.35">
      <c r="A335" s="340" t="str">
        <f>IF(OR(C335&gt;Report!$H$4,C335&lt;Report!$G$4),"",IF(OR(J335*K335=1,K335-J335=1),'!'!$GJ$14,""))</f>
        <v/>
      </c>
      <c r="B335" s="332">
        <f>IF(A335="",0,COUNTIF($A$25:$A335,'!'!$GJ$14))</f>
        <v>0</v>
      </c>
      <c r="C335" s="330"/>
      <c r="D335" s="328"/>
      <c r="E335" s="329"/>
      <c r="F335" s="329"/>
      <c r="G335" s="329"/>
      <c r="H335" s="329"/>
      <c r="I335" s="339" t="str">
        <f>IF(OR(VLOOKUP(C335,'!'!$GU$24:$HE$390,'!'!HE$17,FALSE)&gt;'!'!$GL$8,VLOOKUP(C335,'!'!$GU$24:$HE$390,'!'!HE$17,FALSE)&lt;'!'!$GL$7+1),"",$I$12)</f>
        <v/>
      </c>
      <c r="J335" s="357">
        <f>IF(Report!$G$4=C335,1,IF(Report!$H$4=C335,1,0))</f>
        <v>0</v>
      </c>
      <c r="K335" s="358">
        <f>SUM($J$25:J335)</f>
        <v>0</v>
      </c>
      <c r="L335" s="359"/>
    </row>
    <row r="336" spans="1:12" x14ac:dyDescent="0.35">
      <c r="A336" s="340" t="str">
        <f>IF(OR(C336&gt;Report!$H$4,C336&lt;Report!$G$4),"",IF(OR(J336*K336=1,K336-J336=1),'!'!$GJ$14,""))</f>
        <v/>
      </c>
      <c r="B336" s="332">
        <f>IF(A336="",0,COUNTIF($A$25:$A336,'!'!$GJ$14))</f>
        <v>0</v>
      </c>
      <c r="C336" s="330"/>
      <c r="D336" s="328"/>
      <c r="E336" s="329"/>
      <c r="F336" s="329"/>
      <c r="G336" s="329"/>
      <c r="H336" s="329"/>
      <c r="I336" s="339" t="str">
        <f>IF(OR(VLOOKUP(C336,'!'!$GU$24:$HE$390,'!'!HE$17,FALSE)&gt;'!'!$GL$8,VLOOKUP(C336,'!'!$GU$24:$HE$390,'!'!HE$17,FALSE)&lt;'!'!$GL$7+1),"",$I$12)</f>
        <v/>
      </c>
      <c r="J336" s="357">
        <f>IF(Report!$G$4=C336,1,IF(Report!$H$4=C336,1,0))</f>
        <v>0</v>
      </c>
      <c r="K336" s="358">
        <f>SUM($J$25:J336)</f>
        <v>0</v>
      </c>
      <c r="L336" s="359"/>
    </row>
    <row r="337" spans="1:12" x14ac:dyDescent="0.35">
      <c r="A337" s="340" t="str">
        <f>IF(OR(C337&gt;Report!$H$4,C337&lt;Report!$G$4),"",IF(OR(J337*K337=1,K337-J337=1),'!'!$GJ$14,""))</f>
        <v/>
      </c>
      <c r="B337" s="332">
        <f>IF(A337="",0,COUNTIF($A$25:$A337,'!'!$GJ$14))</f>
        <v>0</v>
      </c>
      <c r="C337" s="330"/>
      <c r="D337" s="328"/>
      <c r="E337" s="329"/>
      <c r="F337" s="329"/>
      <c r="G337" s="329"/>
      <c r="H337" s="329"/>
      <c r="I337" s="339" t="str">
        <f>IF(OR(VLOOKUP(C337,'!'!$GU$24:$HE$390,'!'!HE$17,FALSE)&gt;'!'!$GL$8,VLOOKUP(C337,'!'!$GU$24:$HE$390,'!'!HE$17,FALSE)&lt;'!'!$GL$7+1),"",$I$12)</f>
        <v/>
      </c>
      <c r="J337" s="357">
        <f>IF(Report!$G$4=C337,1,IF(Report!$H$4=C337,1,0))</f>
        <v>0</v>
      </c>
      <c r="K337" s="358">
        <f>SUM($J$25:J337)</f>
        <v>0</v>
      </c>
      <c r="L337" s="359"/>
    </row>
    <row r="338" spans="1:12" x14ac:dyDescent="0.35">
      <c r="A338" s="340" t="str">
        <f>IF(OR(C338&gt;Report!$H$4,C338&lt;Report!$G$4),"",IF(OR(J338*K338=1,K338-J338=1),'!'!$GJ$14,""))</f>
        <v/>
      </c>
      <c r="B338" s="332">
        <f>IF(A338="",0,COUNTIF($A$25:$A338,'!'!$GJ$14))</f>
        <v>0</v>
      </c>
      <c r="C338" s="330"/>
      <c r="D338" s="328"/>
      <c r="E338" s="329"/>
      <c r="F338" s="329"/>
      <c r="G338" s="329"/>
      <c r="H338" s="329"/>
      <c r="I338" s="339" t="str">
        <f>IF(OR(VLOOKUP(C338,'!'!$GU$24:$HE$390,'!'!HE$17,FALSE)&gt;'!'!$GL$8,VLOOKUP(C338,'!'!$GU$24:$HE$390,'!'!HE$17,FALSE)&lt;'!'!$GL$7+1),"",$I$12)</f>
        <v/>
      </c>
      <c r="J338" s="357">
        <f>IF(Report!$G$4=C338,1,IF(Report!$H$4=C338,1,0))</f>
        <v>0</v>
      </c>
      <c r="K338" s="358">
        <f>SUM($J$25:J338)</f>
        <v>0</v>
      </c>
      <c r="L338" s="359"/>
    </row>
    <row r="339" spans="1:12" x14ac:dyDescent="0.35">
      <c r="A339" s="340" t="str">
        <f>IF(OR(C339&gt;Report!$H$4,C339&lt;Report!$G$4),"",IF(OR(J339*K339=1,K339-J339=1),'!'!$GJ$14,""))</f>
        <v/>
      </c>
      <c r="B339" s="332">
        <f>IF(A339="",0,COUNTIF($A$25:$A339,'!'!$GJ$14))</f>
        <v>0</v>
      </c>
      <c r="C339" s="330"/>
      <c r="D339" s="328"/>
      <c r="E339" s="329"/>
      <c r="F339" s="329"/>
      <c r="G339" s="329"/>
      <c r="H339" s="329"/>
      <c r="I339" s="339" t="str">
        <f>IF(OR(VLOOKUP(C339,'!'!$GU$24:$HE$390,'!'!HE$17,FALSE)&gt;'!'!$GL$8,VLOOKUP(C339,'!'!$GU$24:$HE$390,'!'!HE$17,FALSE)&lt;'!'!$GL$7+1),"",$I$12)</f>
        <v/>
      </c>
      <c r="J339" s="357">
        <f>IF(Report!$G$4=C339,1,IF(Report!$H$4=C339,1,0))</f>
        <v>0</v>
      </c>
      <c r="K339" s="358">
        <f>SUM($J$25:J339)</f>
        <v>0</v>
      </c>
      <c r="L339" s="359"/>
    </row>
    <row r="340" spans="1:12" x14ac:dyDescent="0.35">
      <c r="A340" s="340" t="str">
        <f>IF(OR(C340&gt;Report!$H$4,C340&lt;Report!$G$4),"",IF(OR(J340*K340=1,K340-J340=1),'!'!$GJ$14,""))</f>
        <v/>
      </c>
      <c r="B340" s="332">
        <f>IF(A340="",0,COUNTIF($A$25:$A340,'!'!$GJ$14))</f>
        <v>0</v>
      </c>
      <c r="C340" s="330"/>
      <c r="D340" s="328"/>
      <c r="E340" s="329"/>
      <c r="F340" s="329"/>
      <c r="G340" s="329"/>
      <c r="H340" s="329"/>
      <c r="I340" s="339" t="str">
        <f>IF(OR(VLOOKUP(C340,'!'!$GU$24:$HE$390,'!'!HE$17,FALSE)&gt;'!'!$GL$8,VLOOKUP(C340,'!'!$GU$24:$HE$390,'!'!HE$17,FALSE)&lt;'!'!$GL$7+1),"",$I$12)</f>
        <v/>
      </c>
      <c r="J340" s="357">
        <f>IF(Report!$G$4=C340,1,IF(Report!$H$4=C340,1,0))</f>
        <v>0</v>
      </c>
      <c r="K340" s="358">
        <f>SUM($J$25:J340)</f>
        <v>0</v>
      </c>
      <c r="L340" s="359"/>
    </row>
    <row r="341" spans="1:12" x14ac:dyDescent="0.35">
      <c r="A341" s="340" t="str">
        <f>IF(OR(C341&gt;Report!$H$4,C341&lt;Report!$G$4),"",IF(OR(J341*K341=1,K341-J341=1),'!'!$GJ$14,""))</f>
        <v/>
      </c>
      <c r="B341" s="332">
        <f>IF(A341="",0,COUNTIF($A$25:$A341,'!'!$GJ$14))</f>
        <v>0</v>
      </c>
      <c r="C341" s="330"/>
      <c r="D341" s="328"/>
      <c r="E341" s="329"/>
      <c r="F341" s="329"/>
      <c r="G341" s="329"/>
      <c r="H341" s="329"/>
      <c r="I341" s="339" t="str">
        <f>IF(OR(VLOOKUP(C341,'!'!$GU$24:$HE$390,'!'!HE$17,FALSE)&gt;'!'!$GL$8,VLOOKUP(C341,'!'!$GU$24:$HE$390,'!'!HE$17,FALSE)&lt;'!'!$GL$7+1),"",$I$12)</f>
        <v/>
      </c>
      <c r="J341" s="357">
        <f>IF(Report!$G$4=C341,1,IF(Report!$H$4=C341,1,0))</f>
        <v>0</v>
      </c>
      <c r="K341" s="358">
        <f>SUM($J$25:J341)</f>
        <v>0</v>
      </c>
      <c r="L341" s="359"/>
    </row>
    <row r="342" spans="1:12" x14ac:dyDescent="0.35">
      <c r="A342" s="340" t="str">
        <f>IF(OR(C342&gt;Report!$H$4,C342&lt;Report!$G$4),"",IF(OR(J342*K342=1,K342-J342=1),'!'!$GJ$14,""))</f>
        <v/>
      </c>
      <c r="B342" s="332">
        <f>IF(A342="",0,COUNTIF($A$25:$A342,'!'!$GJ$14))</f>
        <v>0</v>
      </c>
      <c r="C342" s="330"/>
      <c r="D342" s="328"/>
      <c r="E342" s="329"/>
      <c r="F342" s="329"/>
      <c r="G342" s="329"/>
      <c r="H342" s="329"/>
      <c r="I342" s="339" t="str">
        <f>IF(OR(VLOOKUP(C342,'!'!$GU$24:$HE$390,'!'!HE$17,FALSE)&gt;'!'!$GL$8,VLOOKUP(C342,'!'!$GU$24:$HE$390,'!'!HE$17,FALSE)&lt;'!'!$GL$7+1),"",$I$12)</f>
        <v/>
      </c>
      <c r="J342" s="357">
        <f>IF(Report!$G$4=C342,1,IF(Report!$H$4=C342,1,0))</f>
        <v>0</v>
      </c>
      <c r="K342" s="358">
        <f>SUM($J$25:J342)</f>
        <v>0</v>
      </c>
      <c r="L342" s="359"/>
    </row>
    <row r="343" spans="1:12" x14ac:dyDescent="0.35">
      <c r="A343" s="340" t="str">
        <f>IF(OR(C343&gt;Report!$H$4,C343&lt;Report!$G$4),"",IF(OR(J343*K343=1,K343-J343=1),'!'!$GJ$14,""))</f>
        <v/>
      </c>
      <c r="B343" s="332">
        <f>IF(A343="",0,COUNTIF($A$25:$A343,'!'!$GJ$14))</f>
        <v>0</v>
      </c>
      <c r="C343" s="330"/>
      <c r="D343" s="328"/>
      <c r="E343" s="329"/>
      <c r="F343" s="329"/>
      <c r="G343" s="329"/>
      <c r="H343" s="329"/>
      <c r="I343" s="339" t="str">
        <f>IF(OR(VLOOKUP(C343,'!'!$GU$24:$HE$390,'!'!HE$17,FALSE)&gt;'!'!$GL$8,VLOOKUP(C343,'!'!$GU$24:$HE$390,'!'!HE$17,FALSE)&lt;'!'!$GL$7+1),"",$I$12)</f>
        <v/>
      </c>
      <c r="J343" s="357">
        <f>IF(Report!$G$4=C343,1,IF(Report!$H$4=C343,1,0))</f>
        <v>0</v>
      </c>
      <c r="K343" s="358">
        <f>SUM($J$25:J343)</f>
        <v>0</v>
      </c>
      <c r="L343" s="359"/>
    </row>
    <row r="344" spans="1:12" x14ac:dyDescent="0.35">
      <c r="A344" s="340" t="str">
        <f>IF(OR(C344&gt;Report!$H$4,C344&lt;Report!$G$4),"",IF(OR(J344*K344=1,K344-J344=1),'!'!$GJ$14,""))</f>
        <v/>
      </c>
      <c r="B344" s="332">
        <f>IF(A344="",0,COUNTIF($A$25:$A344,'!'!$GJ$14))</f>
        <v>0</v>
      </c>
      <c r="C344" s="330"/>
      <c r="D344" s="328"/>
      <c r="E344" s="329"/>
      <c r="F344" s="329"/>
      <c r="G344" s="329"/>
      <c r="H344" s="329"/>
      <c r="I344" s="339" t="str">
        <f>IF(OR(VLOOKUP(C344,'!'!$GU$24:$HE$390,'!'!HE$17,FALSE)&gt;'!'!$GL$8,VLOOKUP(C344,'!'!$GU$24:$HE$390,'!'!HE$17,FALSE)&lt;'!'!$GL$7+1),"",$I$12)</f>
        <v/>
      </c>
      <c r="J344" s="357">
        <f>IF(Report!$G$4=C344,1,IF(Report!$H$4=C344,1,0))</f>
        <v>0</v>
      </c>
      <c r="K344" s="358">
        <f>SUM($J$25:J344)</f>
        <v>0</v>
      </c>
      <c r="L344" s="359"/>
    </row>
    <row r="345" spans="1:12" x14ac:dyDescent="0.35">
      <c r="A345" s="340" t="str">
        <f>IF(OR(C345&gt;Report!$H$4,C345&lt;Report!$G$4),"",IF(OR(J345*K345=1,K345-J345=1),'!'!$GJ$14,""))</f>
        <v/>
      </c>
      <c r="B345" s="332">
        <f>IF(A345="",0,COUNTIF($A$25:$A345,'!'!$GJ$14))</f>
        <v>0</v>
      </c>
      <c r="C345" s="330"/>
      <c r="D345" s="328"/>
      <c r="E345" s="329"/>
      <c r="F345" s="329"/>
      <c r="G345" s="329"/>
      <c r="H345" s="329"/>
      <c r="I345" s="339" t="str">
        <f>IF(OR(VLOOKUP(C345,'!'!$GU$24:$HE$390,'!'!HE$17,FALSE)&gt;'!'!$GL$8,VLOOKUP(C345,'!'!$GU$24:$HE$390,'!'!HE$17,FALSE)&lt;'!'!$GL$7+1),"",$I$12)</f>
        <v/>
      </c>
      <c r="J345" s="357">
        <f>IF(Report!$G$4=C345,1,IF(Report!$H$4=C345,1,0))</f>
        <v>0</v>
      </c>
      <c r="K345" s="358">
        <f>SUM($J$25:J345)</f>
        <v>0</v>
      </c>
      <c r="L345" s="359"/>
    </row>
    <row r="346" spans="1:12" x14ac:dyDescent="0.35">
      <c r="A346" s="340" t="str">
        <f>IF(OR(C346&gt;Report!$H$4,C346&lt;Report!$G$4),"",IF(OR(J346*K346=1,K346-J346=1),'!'!$GJ$14,""))</f>
        <v/>
      </c>
      <c r="B346" s="332">
        <f>IF(A346="",0,COUNTIF($A$25:$A346,'!'!$GJ$14))</f>
        <v>0</v>
      </c>
      <c r="C346" s="330"/>
      <c r="D346" s="328"/>
      <c r="E346" s="329"/>
      <c r="F346" s="329"/>
      <c r="G346" s="329"/>
      <c r="H346" s="329"/>
      <c r="I346" s="339" t="str">
        <f>IF(OR(VLOOKUP(C346,'!'!$GU$24:$HE$390,'!'!HE$17,FALSE)&gt;'!'!$GL$8,VLOOKUP(C346,'!'!$GU$24:$HE$390,'!'!HE$17,FALSE)&lt;'!'!$GL$7+1),"",$I$12)</f>
        <v/>
      </c>
      <c r="J346" s="357">
        <f>IF(Report!$G$4=C346,1,IF(Report!$H$4=C346,1,0))</f>
        <v>0</v>
      </c>
      <c r="K346" s="358">
        <f>SUM($J$25:J346)</f>
        <v>0</v>
      </c>
      <c r="L346" s="359"/>
    </row>
    <row r="347" spans="1:12" x14ac:dyDescent="0.35">
      <c r="A347" s="340" t="str">
        <f>IF(OR(C347&gt;Report!$H$4,C347&lt;Report!$G$4),"",IF(OR(J347*K347=1,K347-J347=1),'!'!$GJ$14,""))</f>
        <v/>
      </c>
      <c r="B347" s="332">
        <f>IF(A347="",0,COUNTIF($A$25:$A347,'!'!$GJ$14))</f>
        <v>0</v>
      </c>
      <c r="C347" s="330"/>
      <c r="D347" s="328"/>
      <c r="E347" s="329"/>
      <c r="F347" s="329"/>
      <c r="G347" s="329"/>
      <c r="H347" s="329"/>
      <c r="I347" s="339" t="str">
        <f>IF(OR(VLOOKUP(C347,'!'!$GU$24:$HE$390,'!'!HE$17,FALSE)&gt;'!'!$GL$8,VLOOKUP(C347,'!'!$GU$24:$HE$390,'!'!HE$17,FALSE)&lt;'!'!$GL$7+1),"",$I$12)</f>
        <v/>
      </c>
      <c r="J347" s="357">
        <f>IF(Report!$G$4=C347,1,IF(Report!$H$4=C347,1,0))</f>
        <v>0</v>
      </c>
      <c r="K347" s="358">
        <f>SUM($J$25:J347)</f>
        <v>0</v>
      </c>
      <c r="L347" s="359"/>
    </row>
    <row r="348" spans="1:12" x14ac:dyDescent="0.35">
      <c r="A348" s="340" t="str">
        <f>IF(OR(C348&gt;Report!$H$4,C348&lt;Report!$G$4),"",IF(OR(J348*K348=1,K348-J348=1),'!'!$GJ$14,""))</f>
        <v/>
      </c>
      <c r="B348" s="332">
        <f>IF(A348="",0,COUNTIF($A$25:$A348,'!'!$GJ$14))</f>
        <v>0</v>
      </c>
      <c r="C348" s="330"/>
      <c r="D348" s="328"/>
      <c r="E348" s="329"/>
      <c r="F348" s="329"/>
      <c r="G348" s="329"/>
      <c r="H348" s="329"/>
      <c r="I348" s="339" t="str">
        <f>IF(OR(VLOOKUP(C348,'!'!$GU$24:$HE$390,'!'!HE$17,FALSE)&gt;'!'!$GL$8,VLOOKUP(C348,'!'!$GU$24:$HE$390,'!'!HE$17,FALSE)&lt;'!'!$GL$7+1),"",$I$12)</f>
        <v/>
      </c>
      <c r="J348" s="357">
        <f>IF(Report!$G$4=C348,1,IF(Report!$H$4=C348,1,0))</f>
        <v>0</v>
      </c>
      <c r="K348" s="358">
        <f>SUM($J$25:J348)</f>
        <v>0</v>
      </c>
      <c r="L348" s="359"/>
    </row>
    <row r="349" spans="1:12" x14ac:dyDescent="0.35">
      <c r="A349" s="340" t="str">
        <f>IF(OR(C349&gt;Report!$H$4,C349&lt;Report!$G$4),"",IF(OR(J349*K349=1,K349-J349=1),'!'!$GJ$14,""))</f>
        <v/>
      </c>
      <c r="B349" s="332">
        <f>IF(A349="",0,COUNTIF($A$25:$A349,'!'!$GJ$14))</f>
        <v>0</v>
      </c>
      <c r="C349" s="330"/>
      <c r="D349" s="328"/>
      <c r="E349" s="329"/>
      <c r="F349" s="329"/>
      <c r="G349" s="329"/>
      <c r="H349" s="329"/>
      <c r="I349" s="339" t="str">
        <f>IF(OR(VLOOKUP(C349,'!'!$GU$24:$HE$390,'!'!HE$17,FALSE)&gt;'!'!$GL$8,VLOOKUP(C349,'!'!$GU$24:$HE$390,'!'!HE$17,FALSE)&lt;'!'!$GL$7+1),"",$I$12)</f>
        <v/>
      </c>
      <c r="J349" s="357">
        <f>IF(Report!$G$4=C349,1,IF(Report!$H$4=C349,1,0))</f>
        <v>0</v>
      </c>
      <c r="K349" s="358">
        <f>SUM($J$25:J349)</f>
        <v>0</v>
      </c>
      <c r="L349" s="359"/>
    </row>
    <row r="350" spans="1:12" x14ac:dyDescent="0.35">
      <c r="A350" s="340" t="str">
        <f>IF(OR(C350&gt;Report!$H$4,C350&lt;Report!$G$4),"",IF(OR(J350*K350=1,K350-J350=1),'!'!$GJ$14,""))</f>
        <v/>
      </c>
      <c r="B350" s="332">
        <f>IF(A350="",0,COUNTIF($A$25:$A350,'!'!$GJ$14))</f>
        <v>0</v>
      </c>
      <c r="C350" s="330"/>
      <c r="D350" s="328"/>
      <c r="E350" s="329"/>
      <c r="F350" s="329"/>
      <c r="G350" s="329"/>
      <c r="H350" s="329"/>
      <c r="I350" s="339" t="str">
        <f>IF(OR(VLOOKUP(C350,'!'!$GU$24:$HE$390,'!'!HE$17,FALSE)&gt;'!'!$GL$8,VLOOKUP(C350,'!'!$GU$24:$HE$390,'!'!HE$17,FALSE)&lt;'!'!$GL$7+1),"",$I$12)</f>
        <v/>
      </c>
      <c r="J350" s="357">
        <f>IF(Report!$G$4=C350,1,IF(Report!$H$4=C350,1,0))</f>
        <v>0</v>
      </c>
      <c r="K350" s="358">
        <f>SUM($J$25:J350)</f>
        <v>0</v>
      </c>
      <c r="L350" s="359"/>
    </row>
    <row r="351" spans="1:12" x14ac:dyDescent="0.35">
      <c r="A351" s="340" t="str">
        <f>IF(OR(C351&gt;Report!$H$4,C351&lt;Report!$G$4),"",IF(OR(J351*K351=1,K351-J351=1),'!'!$GJ$14,""))</f>
        <v/>
      </c>
      <c r="B351" s="332">
        <f>IF(A351="",0,COUNTIF($A$25:$A351,'!'!$GJ$14))</f>
        <v>0</v>
      </c>
      <c r="C351" s="330"/>
      <c r="D351" s="328"/>
      <c r="E351" s="329"/>
      <c r="F351" s="329"/>
      <c r="G351" s="329"/>
      <c r="H351" s="329"/>
      <c r="I351" s="339" t="str">
        <f>IF(OR(VLOOKUP(C351,'!'!$GU$24:$HE$390,'!'!HE$17,FALSE)&gt;'!'!$GL$8,VLOOKUP(C351,'!'!$GU$24:$HE$390,'!'!HE$17,FALSE)&lt;'!'!$GL$7+1),"",$I$12)</f>
        <v/>
      </c>
      <c r="J351" s="357">
        <f>IF(Report!$G$4=C351,1,IF(Report!$H$4=C351,1,0))</f>
        <v>0</v>
      </c>
      <c r="K351" s="358">
        <f>SUM($J$25:J351)</f>
        <v>0</v>
      </c>
      <c r="L351" s="359"/>
    </row>
    <row r="352" spans="1:12" x14ac:dyDescent="0.35">
      <c r="A352" s="340" t="str">
        <f>IF(OR(C352&gt;Report!$H$4,C352&lt;Report!$G$4),"",IF(OR(J352*K352=1,K352-J352=1),'!'!$GJ$14,""))</f>
        <v/>
      </c>
      <c r="B352" s="332">
        <f>IF(A352="",0,COUNTIF($A$25:$A352,'!'!$GJ$14))</f>
        <v>0</v>
      </c>
      <c r="C352" s="330"/>
      <c r="D352" s="328"/>
      <c r="E352" s="329"/>
      <c r="F352" s="329"/>
      <c r="G352" s="329"/>
      <c r="H352" s="329"/>
      <c r="I352" s="339" t="str">
        <f>IF(OR(VLOOKUP(C352,'!'!$GU$24:$HE$390,'!'!HE$17,FALSE)&gt;'!'!$GL$8,VLOOKUP(C352,'!'!$GU$24:$HE$390,'!'!HE$17,FALSE)&lt;'!'!$GL$7+1),"",$I$12)</f>
        <v/>
      </c>
      <c r="J352" s="357">
        <f>IF(Report!$G$4=C352,1,IF(Report!$H$4=C352,1,0))</f>
        <v>0</v>
      </c>
      <c r="K352" s="358">
        <f>SUM($J$25:J352)</f>
        <v>0</v>
      </c>
      <c r="L352" s="359"/>
    </row>
    <row r="353" spans="1:12" x14ac:dyDescent="0.35">
      <c r="A353" s="340" t="str">
        <f>IF(OR(C353&gt;Report!$H$4,C353&lt;Report!$G$4),"",IF(OR(J353*K353=1,K353-J353=1),'!'!$GJ$14,""))</f>
        <v/>
      </c>
      <c r="B353" s="332">
        <f>IF(A353="",0,COUNTIF($A$25:$A353,'!'!$GJ$14))</f>
        <v>0</v>
      </c>
      <c r="C353" s="330"/>
      <c r="D353" s="328"/>
      <c r="E353" s="329"/>
      <c r="F353" s="329"/>
      <c r="G353" s="329"/>
      <c r="H353" s="329"/>
      <c r="I353" s="339" t="str">
        <f>IF(OR(VLOOKUP(C353,'!'!$GU$24:$HE$390,'!'!HE$17,FALSE)&gt;'!'!$GL$8,VLOOKUP(C353,'!'!$GU$24:$HE$390,'!'!HE$17,FALSE)&lt;'!'!$GL$7+1),"",$I$12)</f>
        <v/>
      </c>
      <c r="J353" s="357">
        <f>IF(Report!$G$4=C353,1,IF(Report!$H$4=C353,1,0))</f>
        <v>0</v>
      </c>
      <c r="K353" s="358">
        <f>SUM($J$25:J353)</f>
        <v>0</v>
      </c>
      <c r="L353" s="359"/>
    </row>
    <row r="354" spans="1:12" x14ac:dyDescent="0.35">
      <c r="A354" s="340" t="str">
        <f>IF(OR(C354&gt;Report!$H$4,C354&lt;Report!$G$4),"",IF(OR(J354*K354=1,K354-J354=1),'!'!$GJ$14,""))</f>
        <v/>
      </c>
      <c r="B354" s="332">
        <f>IF(A354="",0,COUNTIF($A$25:$A354,'!'!$GJ$14))</f>
        <v>0</v>
      </c>
      <c r="C354" s="330"/>
      <c r="D354" s="328"/>
      <c r="E354" s="329"/>
      <c r="F354" s="329"/>
      <c r="G354" s="329"/>
      <c r="H354" s="329"/>
      <c r="I354" s="339" t="str">
        <f>IF(OR(VLOOKUP(C354,'!'!$GU$24:$HE$390,'!'!HE$17,FALSE)&gt;'!'!$GL$8,VLOOKUP(C354,'!'!$GU$24:$HE$390,'!'!HE$17,FALSE)&lt;'!'!$GL$7+1),"",$I$12)</f>
        <v/>
      </c>
      <c r="J354" s="357">
        <f>IF(Report!$G$4=C354,1,IF(Report!$H$4=C354,1,0))</f>
        <v>0</v>
      </c>
      <c r="K354" s="358">
        <f>SUM($J$25:J354)</f>
        <v>0</v>
      </c>
      <c r="L354" s="359"/>
    </row>
    <row r="355" spans="1:12" x14ac:dyDescent="0.35">
      <c r="A355" s="340" t="str">
        <f>IF(OR(C355&gt;Report!$H$4,C355&lt;Report!$G$4),"",IF(OR(J355*K355=1,K355-J355=1),'!'!$GJ$14,""))</f>
        <v/>
      </c>
      <c r="B355" s="332">
        <f>IF(A355="",0,COUNTIF($A$25:$A355,'!'!$GJ$14))</f>
        <v>0</v>
      </c>
      <c r="C355" s="330"/>
      <c r="D355" s="328"/>
      <c r="E355" s="329"/>
      <c r="F355" s="329"/>
      <c r="G355" s="329"/>
      <c r="H355" s="329"/>
      <c r="I355" s="339" t="str">
        <f>IF(OR(VLOOKUP(C355,'!'!$GU$24:$HE$390,'!'!HE$17,FALSE)&gt;'!'!$GL$8,VLOOKUP(C355,'!'!$GU$24:$HE$390,'!'!HE$17,FALSE)&lt;'!'!$GL$7+1),"",$I$12)</f>
        <v/>
      </c>
      <c r="J355" s="357">
        <f>IF(Report!$G$4=C355,1,IF(Report!$H$4=C355,1,0))</f>
        <v>0</v>
      </c>
      <c r="K355" s="358">
        <f>SUM($J$25:J355)</f>
        <v>0</v>
      </c>
      <c r="L355" s="359"/>
    </row>
    <row r="356" spans="1:12" x14ac:dyDescent="0.35">
      <c r="A356" s="340" t="str">
        <f>IF(OR(C356&gt;Report!$H$4,C356&lt;Report!$G$4),"",IF(OR(J356*K356=1,K356-J356=1),'!'!$GJ$14,""))</f>
        <v/>
      </c>
      <c r="B356" s="332">
        <f>IF(A356="",0,COUNTIF($A$25:$A356,'!'!$GJ$14))</f>
        <v>0</v>
      </c>
      <c r="C356" s="330"/>
      <c r="D356" s="328"/>
      <c r="E356" s="329"/>
      <c r="F356" s="329"/>
      <c r="G356" s="329"/>
      <c r="H356" s="329"/>
      <c r="I356" s="339" t="str">
        <f>IF(OR(VLOOKUP(C356,'!'!$GU$24:$HE$390,'!'!HE$17,FALSE)&gt;'!'!$GL$8,VLOOKUP(C356,'!'!$GU$24:$HE$390,'!'!HE$17,FALSE)&lt;'!'!$GL$7+1),"",$I$12)</f>
        <v/>
      </c>
      <c r="J356" s="357">
        <f>IF(Report!$G$4=C356,1,IF(Report!$H$4=C356,1,0))</f>
        <v>0</v>
      </c>
      <c r="K356" s="358">
        <f>SUM($J$25:J356)</f>
        <v>0</v>
      </c>
      <c r="L356" s="359"/>
    </row>
    <row r="357" spans="1:12" x14ac:dyDescent="0.35">
      <c r="A357" s="340" t="str">
        <f>IF(OR(C357&gt;Report!$H$4,C357&lt;Report!$G$4),"",IF(OR(J357*K357=1,K357-J357=1),'!'!$GJ$14,""))</f>
        <v/>
      </c>
      <c r="B357" s="332">
        <f>IF(A357="",0,COUNTIF($A$25:$A357,'!'!$GJ$14))</f>
        <v>0</v>
      </c>
      <c r="C357" s="330"/>
      <c r="D357" s="328"/>
      <c r="E357" s="329"/>
      <c r="F357" s="329"/>
      <c r="G357" s="329"/>
      <c r="H357" s="329"/>
      <c r="I357" s="339" t="str">
        <f>IF(OR(VLOOKUP(C357,'!'!$GU$24:$HE$390,'!'!HE$17,FALSE)&gt;'!'!$GL$8,VLOOKUP(C357,'!'!$GU$24:$HE$390,'!'!HE$17,FALSE)&lt;'!'!$GL$7+1),"",$I$12)</f>
        <v/>
      </c>
      <c r="J357" s="357">
        <f>IF(Report!$G$4=C357,1,IF(Report!$H$4=C357,1,0))</f>
        <v>0</v>
      </c>
      <c r="K357" s="358">
        <f>SUM($J$25:J357)</f>
        <v>0</v>
      </c>
      <c r="L357" s="359"/>
    </row>
    <row r="358" spans="1:12" x14ac:dyDescent="0.35">
      <c r="A358" s="340" t="str">
        <f>IF(OR(C358&gt;Report!$H$4,C358&lt;Report!$G$4),"",IF(OR(J358*K358=1,K358-J358=1),'!'!$GJ$14,""))</f>
        <v/>
      </c>
      <c r="B358" s="332">
        <f>IF(A358="",0,COUNTIF($A$25:$A358,'!'!$GJ$14))</f>
        <v>0</v>
      </c>
      <c r="C358" s="330"/>
      <c r="D358" s="328"/>
      <c r="E358" s="329"/>
      <c r="F358" s="329"/>
      <c r="G358" s="329"/>
      <c r="H358" s="329"/>
      <c r="I358" s="339" t="str">
        <f>IF(OR(VLOOKUP(C358,'!'!$GU$24:$HE$390,'!'!HE$17,FALSE)&gt;'!'!$GL$8,VLOOKUP(C358,'!'!$GU$24:$HE$390,'!'!HE$17,FALSE)&lt;'!'!$GL$7+1),"",$I$12)</f>
        <v/>
      </c>
      <c r="J358" s="357">
        <f>IF(Report!$G$4=C358,1,IF(Report!$H$4=C358,1,0))</f>
        <v>0</v>
      </c>
      <c r="K358" s="358">
        <f>SUM($J$25:J358)</f>
        <v>0</v>
      </c>
      <c r="L358" s="359"/>
    </row>
    <row r="359" spans="1:12" x14ac:dyDescent="0.35">
      <c r="A359" s="340" t="str">
        <f>IF(OR(C359&gt;Report!$H$4,C359&lt;Report!$G$4),"",IF(OR(J359*K359=1,K359-J359=1),'!'!$GJ$14,""))</f>
        <v/>
      </c>
      <c r="B359" s="332">
        <f>IF(A359="",0,COUNTIF($A$25:$A359,'!'!$GJ$14))</f>
        <v>0</v>
      </c>
      <c r="C359" s="330"/>
      <c r="D359" s="328"/>
      <c r="E359" s="329"/>
      <c r="F359" s="329"/>
      <c r="G359" s="329"/>
      <c r="H359" s="329"/>
      <c r="I359" s="339" t="str">
        <f>IF(OR(VLOOKUP(C359,'!'!$GU$24:$HE$390,'!'!HE$17,FALSE)&gt;'!'!$GL$8,VLOOKUP(C359,'!'!$GU$24:$HE$390,'!'!HE$17,FALSE)&lt;'!'!$GL$7+1),"",$I$12)</f>
        <v/>
      </c>
      <c r="J359" s="357">
        <f>IF(Report!$G$4=C359,1,IF(Report!$H$4=C359,1,0))</f>
        <v>0</v>
      </c>
      <c r="K359" s="358">
        <f>SUM($J$25:J359)</f>
        <v>0</v>
      </c>
      <c r="L359" s="359"/>
    </row>
    <row r="360" spans="1:12" x14ac:dyDescent="0.35">
      <c r="A360" s="340" t="str">
        <f>IF(OR(C360&gt;Report!$H$4,C360&lt;Report!$G$4),"",IF(OR(J360*K360=1,K360-J360=1),'!'!$GJ$14,""))</f>
        <v/>
      </c>
      <c r="B360" s="332">
        <f>IF(A360="",0,COUNTIF($A$25:$A360,'!'!$GJ$14))</f>
        <v>0</v>
      </c>
      <c r="C360" s="330"/>
      <c r="D360" s="328"/>
      <c r="E360" s="329"/>
      <c r="F360" s="329"/>
      <c r="G360" s="329"/>
      <c r="H360" s="329"/>
      <c r="I360" s="339" t="str">
        <f>IF(OR(VLOOKUP(C360,'!'!$GU$24:$HE$390,'!'!HE$17,FALSE)&gt;'!'!$GL$8,VLOOKUP(C360,'!'!$GU$24:$HE$390,'!'!HE$17,FALSE)&lt;'!'!$GL$7+1),"",$I$12)</f>
        <v/>
      </c>
      <c r="J360" s="357">
        <f>IF(Report!$G$4=C360,1,IF(Report!$H$4=C360,1,0))</f>
        <v>0</v>
      </c>
      <c r="K360" s="358">
        <f>SUM($J$25:J360)</f>
        <v>0</v>
      </c>
      <c r="L360" s="359"/>
    </row>
    <row r="361" spans="1:12" x14ac:dyDescent="0.35">
      <c r="A361" s="340" t="str">
        <f>IF(OR(C361&gt;Report!$H$4,C361&lt;Report!$G$4),"",IF(OR(J361*K361=1,K361-J361=1),'!'!$GJ$14,""))</f>
        <v/>
      </c>
      <c r="B361" s="332">
        <f>IF(A361="",0,COUNTIF($A$25:$A361,'!'!$GJ$14))</f>
        <v>0</v>
      </c>
      <c r="C361" s="330"/>
      <c r="D361" s="328"/>
      <c r="E361" s="329"/>
      <c r="F361" s="329"/>
      <c r="G361" s="329"/>
      <c r="H361" s="329"/>
      <c r="I361" s="339" t="str">
        <f>IF(OR(VLOOKUP(C361,'!'!$GU$24:$HE$390,'!'!HE$17,FALSE)&gt;'!'!$GL$8,VLOOKUP(C361,'!'!$GU$24:$HE$390,'!'!HE$17,FALSE)&lt;'!'!$GL$7+1),"",$I$12)</f>
        <v/>
      </c>
      <c r="J361" s="357">
        <f>IF(Report!$G$4=C361,1,IF(Report!$H$4=C361,1,0))</f>
        <v>0</v>
      </c>
      <c r="K361" s="358">
        <f>SUM($J$25:J361)</f>
        <v>0</v>
      </c>
      <c r="L361" s="359"/>
    </row>
    <row r="362" spans="1:12" x14ac:dyDescent="0.35">
      <c r="A362" s="340" t="str">
        <f>IF(OR(C362&gt;Report!$H$4,C362&lt;Report!$G$4),"",IF(OR(J362*K362=1,K362-J362=1),'!'!$GJ$14,""))</f>
        <v/>
      </c>
      <c r="B362" s="332">
        <f>IF(A362="",0,COUNTIF($A$25:$A362,'!'!$GJ$14))</f>
        <v>0</v>
      </c>
      <c r="C362" s="330"/>
      <c r="D362" s="328"/>
      <c r="E362" s="329"/>
      <c r="F362" s="329"/>
      <c r="G362" s="329"/>
      <c r="H362" s="329"/>
      <c r="I362" s="339" t="str">
        <f>IF(OR(VLOOKUP(C362,'!'!$GU$24:$HE$390,'!'!HE$17,FALSE)&gt;'!'!$GL$8,VLOOKUP(C362,'!'!$GU$24:$HE$390,'!'!HE$17,FALSE)&lt;'!'!$GL$7+1),"",$I$12)</f>
        <v/>
      </c>
      <c r="J362" s="357">
        <f>IF(Report!$G$4=C362,1,IF(Report!$H$4=C362,1,0))</f>
        <v>0</v>
      </c>
      <c r="K362" s="358">
        <f>SUM($J$25:J362)</f>
        <v>0</v>
      </c>
      <c r="L362" s="359"/>
    </row>
    <row r="363" spans="1:12" x14ac:dyDescent="0.35">
      <c r="A363" s="340" t="str">
        <f>IF(OR(C363&gt;Report!$H$4,C363&lt;Report!$G$4),"",IF(OR(J363*K363=1,K363-J363=1),'!'!$GJ$14,""))</f>
        <v/>
      </c>
      <c r="B363" s="332">
        <f>IF(A363="",0,COUNTIF($A$25:$A363,'!'!$GJ$14))</f>
        <v>0</v>
      </c>
      <c r="C363" s="330"/>
      <c r="D363" s="328"/>
      <c r="E363" s="329"/>
      <c r="F363" s="329"/>
      <c r="G363" s="329"/>
      <c r="H363" s="329"/>
      <c r="I363" s="339" t="str">
        <f>IF(OR(VLOOKUP(C363,'!'!$GU$24:$HE$390,'!'!HE$17,FALSE)&gt;'!'!$GL$8,VLOOKUP(C363,'!'!$GU$24:$HE$390,'!'!HE$17,FALSE)&lt;'!'!$GL$7+1),"",$I$12)</f>
        <v/>
      </c>
      <c r="J363" s="357">
        <f>IF(Report!$G$4=C363,1,IF(Report!$H$4=C363,1,0))</f>
        <v>0</v>
      </c>
      <c r="K363" s="358">
        <f>SUM($J$25:J363)</f>
        <v>0</v>
      </c>
      <c r="L363" s="359"/>
    </row>
    <row r="364" spans="1:12" x14ac:dyDescent="0.35">
      <c r="A364" s="340" t="str">
        <f>IF(OR(C364&gt;Report!$H$4,C364&lt;Report!$G$4),"",IF(OR(J364*K364=1,K364-J364=1),'!'!$GJ$14,""))</f>
        <v/>
      </c>
      <c r="B364" s="332">
        <f>IF(A364="",0,COUNTIF($A$25:$A364,'!'!$GJ$14))</f>
        <v>0</v>
      </c>
      <c r="C364" s="330"/>
      <c r="D364" s="328"/>
      <c r="E364" s="329"/>
      <c r="F364" s="329"/>
      <c r="G364" s="329"/>
      <c r="H364" s="329"/>
      <c r="I364" s="339" t="str">
        <f>IF(OR(VLOOKUP(C364,'!'!$GU$24:$HE$390,'!'!HE$17,FALSE)&gt;'!'!$GL$8,VLOOKUP(C364,'!'!$GU$24:$HE$390,'!'!HE$17,FALSE)&lt;'!'!$GL$7+1),"",$I$12)</f>
        <v/>
      </c>
      <c r="J364" s="357">
        <f>IF(Report!$G$4=C364,1,IF(Report!$H$4=C364,1,0))</f>
        <v>0</v>
      </c>
      <c r="K364" s="358">
        <f>SUM($J$25:J364)</f>
        <v>0</v>
      </c>
      <c r="L364" s="359"/>
    </row>
    <row r="365" spans="1:12" x14ac:dyDescent="0.35">
      <c r="A365" s="340" t="str">
        <f>IF(OR(C365&gt;Report!$H$4,C365&lt;Report!$G$4),"",IF(OR(J365*K365=1,K365-J365=1),'!'!$GJ$14,""))</f>
        <v/>
      </c>
      <c r="B365" s="332">
        <f>IF(A365="",0,COUNTIF($A$25:$A365,'!'!$GJ$14))</f>
        <v>0</v>
      </c>
      <c r="C365" s="330"/>
      <c r="D365" s="328"/>
      <c r="E365" s="329"/>
      <c r="F365" s="329"/>
      <c r="G365" s="329"/>
      <c r="H365" s="329"/>
      <c r="I365" s="339" t="str">
        <f>IF(OR(VLOOKUP(C365,'!'!$GU$24:$HE$390,'!'!HE$17,FALSE)&gt;'!'!$GL$8,VLOOKUP(C365,'!'!$GU$24:$HE$390,'!'!HE$17,FALSE)&lt;'!'!$GL$7+1),"",$I$12)</f>
        <v/>
      </c>
      <c r="J365" s="357">
        <f>IF(Report!$G$4=C365,1,IF(Report!$H$4=C365,1,0))</f>
        <v>0</v>
      </c>
      <c r="K365" s="358">
        <f>SUM($J$25:J365)</f>
        <v>0</v>
      </c>
      <c r="L365" s="359"/>
    </row>
    <row r="366" spans="1:12" x14ac:dyDescent="0.35">
      <c r="A366" s="340" t="str">
        <f>IF(OR(C366&gt;Report!$H$4,C366&lt;Report!$G$4),"",IF(OR(J366*K366=1,K366-J366=1),'!'!$GJ$14,""))</f>
        <v/>
      </c>
      <c r="B366" s="332">
        <f>IF(A366="",0,COUNTIF($A$25:$A366,'!'!$GJ$14))</f>
        <v>0</v>
      </c>
      <c r="C366" s="330"/>
      <c r="D366" s="328"/>
      <c r="E366" s="329"/>
      <c r="F366" s="329"/>
      <c r="G366" s="329"/>
      <c r="H366" s="329"/>
      <c r="I366" s="339" t="str">
        <f>IF(OR(VLOOKUP(C366,'!'!$GU$24:$HE$390,'!'!HE$17,FALSE)&gt;'!'!$GL$8,VLOOKUP(C366,'!'!$GU$24:$HE$390,'!'!HE$17,FALSE)&lt;'!'!$GL$7+1),"",$I$12)</f>
        <v/>
      </c>
      <c r="J366" s="357">
        <f>IF(Report!$G$4=C366,1,IF(Report!$H$4=C366,1,0))</f>
        <v>0</v>
      </c>
      <c r="K366" s="358">
        <f>SUM($J$25:J366)</f>
        <v>0</v>
      </c>
      <c r="L366" s="359"/>
    </row>
    <row r="367" spans="1:12" x14ac:dyDescent="0.35">
      <c r="A367" s="340" t="str">
        <f>IF(OR(C367&gt;Report!$H$4,C367&lt;Report!$G$4),"",IF(OR(J367*K367=1,K367-J367=1),'!'!$GJ$14,""))</f>
        <v/>
      </c>
      <c r="B367" s="332">
        <f>IF(A367="",0,COUNTIF($A$25:$A367,'!'!$GJ$14))</f>
        <v>0</v>
      </c>
      <c r="C367" s="330"/>
      <c r="D367" s="328"/>
      <c r="E367" s="329"/>
      <c r="F367" s="329"/>
      <c r="G367" s="329"/>
      <c r="H367" s="329"/>
      <c r="I367" s="339" t="str">
        <f>IF(OR(VLOOKUP(C367,'!'!$GU$24:$HE$390,'!'!HE$17,FALSE)&gt;'!'!$GL$8,VLOOKUP(C367,'!'!$GU$24:$HE$390,'!'!HE$17,FALSE)&lt;'!'!$GL$7+1),"",$I$12)</f>
        <v/>
      </c>
      <c r="J367" s="357">
        <f>IF(Report!$G$4=C367,1,IF(Report!$H$4=C367,1,0))</f>
        <v>0</v>
      </c>
      <c r="K367" s="358">
        <f>SUM($J$25:J367)</f>
        <v>0</v>
      </c>
      <c r="L367" s="359"/>
    </row>
    <row r="368" spans="1:12" x14ac:dyDescent="0.35">
      <c r="A368" s="340" t="str">
        <f>IF(OR(C368&gt;Report!$H$4,C368&lt;Report!$G$4),"",IF(OR(J368*K368=1,K368-J368=1),'!'!$GJ$14,""))</f>
        <v/>
      </c>
      <c r="B368" s="332">
        <f>IF(A368="",0,COUNTIF($A$25:$A368,'!'!$GJ$14))</f>
        <v>0</v>
      </c>
      <c r="C368" s="330"/>
      <c r="D368" s="328"/>
      <c r="E368" s="329"/>
      <c r="F368" s="329"/>
      <c r="G368" s="329"/>
      <c r="H368" s="329"/>
      <c r="I368" s="339" t="str">
        <f>IF(OR(VLOOKUP(C368,'!'!$GU$24:$HE$390,'!'!HE$17,FALSE)&gt;'!'!$GL$8,VLOOKUP(C368,'!'!$GU$24:$HE$390,'!'!HE$17,FALSE)&lt;'!'!$GL$7+1),"",$I$12)</f>
        <v/>
      </c>
      <c r="J368" s="357">
        <f>IF(Report!$G$4=C368,1,IF(Report!$H$4=C368,1,0))</f>
        <v>0</v>
      </c>
      <c r="K368" s="358">
        <f>SUM($J$25:J368)</f>
        <v>0</v>
      </c>
      <c r="L368" s="359"/>
    </row>
    <row r="369" spans="1:12" x14ac:dyDescent="0.35">
      <c r="A369" s="340" t="str">
        <f>IF(OR(C369&gt;Report!$H$4,C369&lt;Report!$G$4),"",IF(OR(J369*K369=1,K369-J369=1),'!'!$GJ$14,""))</f>
        <v/>
      </c>
      <c r="B369" s="332">
        <f>IF(A369="",0,COUNTIF($A$25:$A369,'!'!$GJ$14))</f>
        <v>0</v>
      </c>
      <c r="C369" s="330"/>
      <c r="D369" s="328"/>
      <c r="E369" s="329"/>
      <c r="F369" s="329"/>
      <c r="G369" s="329"/>
      <c r="H369" s="329"/>
      <c r="I369" s="339" t="str">
        <f>IF(OR(VLOOKUP(C369,'!'!$GU$24:$HE$390,'!'!HE$17,FALSE)&gt;'!'!$GL$8,VLOOKUP(C369,'!'!$GU$24:$HE$390,'!'!HE$17,FALSE)&lt;'!'!$GL$7+1),"",$I$12)</f>
        <v/>
      </c>
      <c r="J369" s="357">
        <f>IF(Report!$G$4=C369,1,IF(Report!$H$4=C369,1,0))</f>
        <v>0</v>
      </c>
      <c r="K369" s="358">
        <f>SUM($J$25:J369)</f>
        <v>0</v>
      </c>
      <c r="L369" s="359"/>
    </row>
    <row r="370" spans="1:12" x14ac:dyDescent="0.35">
      <c r="A370" s="340" t="str">
        <f>IF(OR(C370&gt;Report!$H$4,C370&lt;Report!$G$4),"",IF(OR(J370*K370=1,K370-J370=1),'!'!$GJ$14,""))</f>
        <v/>
      </c>
      <c r="B370" s="332">
        <f>IF(A370="",0,COUNTIF($A$25:$A370,'!'!$GJ$14))</f>
        <v>0</v>
      </c>
      <c r="C370" s="330"/>
      <c r="D370" s="328"/>
      <c r="E370" s="329"/>
      <c r="F370" s="329"/>
      <c r="G370" s="329"/>
      <c r="H370" s="329"/>
      <c r="I370" s="339" t="str">
        <f>IF(OR(VLOOKUP(C370,'!'!$GU$24:$HE$390,'!'!HE$17,FALSE)&gt;'!'!$GL$8,VLOOKUP(C370,'!'!$GU$24:$HE$390,'!'!HE$17,FALSE)&lt;'!'!$GL$7+1),"",$I$12)</f>
        <v/>
      </c>
      <c r="J370" s="357">
        <f>IF(Report!$G$4=C370,1,IF(Report!$H$4=C370,1,0))</f>
        <v>0</v>
      </c>
      <c r="K370" s="358">
        <f>SUM($J$25:J370)</f>
        <v>0</v>
      </c>
      <c r="L370" s="359"/>
    </row>
    <row r="371" spans="1:12" x14ac:dyDescent="0.35">
      <c r="A371" s="340" t="str">
        <f>IF(OR(C371&gt;Report!$H$4,C371&lt;Report!$G$4),"",IF(OR(J371*K371=1,K371-J371=1),'!'!$GJ$14,""))</f>
        <v/>
      </c>
      <c r="B371" s="332">
        <f>IF(A371="",0,COUNTIF($A$25:$A371,'!'!$GJ$14))</f>
        <v>0</v>
      </c>
      <c r="C371" s="330"/>
      <c r="D371" s="328"/>
      <c r="E371" s="329"/>
      <c r="F371" s="329"/>
      <c r="G371" s="329"/>
      <c r="H371" s="329"/>
      <c r="I371" s="339" t="str">
        <f>IF(OR(VLOOKUP(C371,'!'!$GU$24:$HE$390,'!'!HE$17,FALSE)&gt;'!'!$GL$8,VLOOKUP(C371,'!'!$GU$24:$HE$390,'!'!HE$17,FALSE)&lt;'!'!$GL$7+1),"",$I$12)</f>
        <v/>
      </c>
      <c r="J371" s="357">
        <f>IF(Report!$G$4=C371,1,IF(Report!$H$4=C371,1,0))</f>
        <v>0</v>
      </c>
      <c r="K371" s="358">
        <f>SUM($J$25:J371)</f>
        <v>0</v>
      </c>
      <c r="L371" s="359"/>
    </row>
    <row r="372" spans="1:12" x14ac:dyDescent="0.35">
      <c r="A372" s="340" t="str">
        <f>IF(OR(C372&gt;Report!$H$4,C372&lt;Report!$G$4),"",IF(OR(J372*K372=1,K372-J372=1),'!'!$GJ$14,""))</f>
        <v/>
      </c>
      <c r="B372" s="332">
        <f>IF(A372="",0,COUNTIF($A$25:$A372,'!'!$GJ$14))</f>
        <v>0</v>
      </c>
      <c r="C372" s="330"/>
      <c r="D372" s="328"/>
      <c r="E372" s="329"/>
      <c r="F372" s="329"/>
      <c r="G372" s="329"/>
      <c r="H372" s="329"/>
      <c r="I372" s="339" t="str">
        <f>IF(OR(VLOOKUP(C372,'!'!$GU$24:$HE$390,'!'!HE$17,FALSE)&gt;'!'!$GL$8,VLOOKUP(C372,'!'!$GU$24:$HE$390,'!'!HE$17,FALSE)&lt;'!'!$GL$7+1),"",$I$12)</f>
        <v/>
      </c>
      <c r="J372" s="357">
        <f>IF(Report!$G$4=C372,1,IF(Report!$H$4=C372,1,0))</f>
        <v>0</v>
      </c>
      <c r="K372" s="358">
        <f>SUM($J$25:J372)</f>
        <v>0</v>
      </c>
      <c r="L372" s="359"/>
    </row>
    <row r="373" spans="1:12" x14ac:dyDescent="0.35">
      <c r="A373" s="340" t="str">
        <f>IF(OR(C373&gt;Report!$H$4,C373&lt;Report!$G$4),"",IF(OR(J373*K373=1,K373-J373=1),'!'!$GJ$14,""))</f>
        <v/>
      </c>
      <c r="B373" s="332">
        <f>IF(A373="",0,COUNTIF($A$25:$A373,'!'!$GJ$14))</f>
        <v>0</v>
      </c>
      <c r="C373" s="330"/>
      <c r="D373" s="328"/>
      <c r="E373" s="329"/>
      <c r="F373" s="329"/>
      <c r="G373" s="329"/>
      <c r="H373" s="329"/>
      <c r="I373" s="339" t="str">
        <f>IF(OR(VLOOKUP(C373,'!'!$GU$24:$HE$390,'!'!HE$17,FALSE)&gt;'!'!$GL$8,VLOOKUP(C373,'!'!$GU$24:$HE$390,'!'!HE$17,FALSE)&lt;'!'!$GL$7+1),"",$I$12)</f>
        <v/>
      </c>
      <c r="J373" s="357">
        <f>IF(Report!$G$4=C373,1,IF(Report!$H$4=C373,1,0))</f>
        <v>0</v>
      </c>
      <c r="K373" s="358">
        <f>SUM($J$25:J373)</f>
        <v>0</v>
      </c>
      <c r="L373" s="359"/>
    </row>
    <row r="374" spans="1:12" x14ac:dyDescent="0.35">
      <c r="A374" s="340" t="str">
        <f>IF(OR(C374&gt;Report!$H$4,C374&lt;Report!$G$4),"",IF(OR(J374*K374=1,K374-J374=1),'!'!$GJ$14,""))</f>
        <v/>
      </c>
      <c r="B374" s="332">
        <f>IF(A374="",0,COUNTIF($A$25:$A374,'!'!$GJ$14))</f>
        <v>0</v>
      </c>
      <c r="C374" s="330"/>
      <c r="D374" s="328"/>
      <c r="E374" s="329"/>
      <c r="F374" s="329"/>
      <c r="G374" s="329"/>
      <c r="H374" s="329"/>
      <c r="I374" s="339" t="str">
        <f>IF(OR(VLOOKUP(C374,'!'!$GU$24:$HE$390,'!'!HE$17,FALSE)&gt;'!'!$GL$8,VLOOKUP(C374,'!'!$GU$24:$HE$390,'!'!HE$17,FALSE)&lt;'!'!$GL$7+1),"",$I$12)</f>
        <v/>
      </c>
      <c r="J374" s="357">
        <f>IF(Report!$G$4=C374,1,IF(Report!$H$4=C374,1,0))</f>
        <v>0</v>
      </c>
      <c r="K374" s="358">
        <f>SUM($J$25:J374)</f>
        <v>0</v>
      </c>
      <c r="L374" s="359"/>
    </row>
    <row r="375" spans="1:12" x14ac:dyDescent="0.35">
      <c r="A375" s="340" t="str">
        <f>IF(OR(C375&gt;Report!$H$4,C375&lt;Report!$G$4),"",IF(OR(J375*K375=1,K375-J375=1),'!'!$GJ$14,""))</f>
        <v/>
      </c>
      <c r="B375" s="332">
        <f>IF(A375="",0,COUNTIF($A$25:$A375,'!'!$GJ$14))</f>
        <v>0</v>
      </c>
      <c r="C375" s="330"/>
      <c r="D375" s="328"/>
      <c r="E375" s="329"/>
      <c r="F375" s="329"/>
      <c r="G375" s="329"/>
      <c r="H375" s="329"/>
      <c r="I375" s="339" t="str">
        <f>IF(OR(VLOOKUP(C375,'!'!$GU$24:$HE$390,'!'!HE$17,FALSE)&gt;'!'!$GL$8,VLOOKUP(C375,'!'!$GU$24:$HE$390,'!'!HE$17,FALSE)&lt;'!'!$GL$7+1),"",$I$12)</f>
        <v/>
      </c>
      <c r="J375" s="357">
        <f>IF(Report!$G$4=C375,1,IF(Report!$H$4=C375,1,0))</f>
        <v>0</v>
      </c>
      <c r="K375" s="358">
        <f>SUM($J$25:J375)</f>
        <v>0</v>
      </c>
      <c r="L375" s="359"/>
    </row>
    <row r="376" spans="1:12" x14ac:dyDescent="0.35">
      <c r="A376" s="340" t="str">
        <f>IF(OR(C376&gt;Report!$H$4,C376&lt;Report!$G$4),"",IF(OR(J376*K376=1,K376-J376=1),'!'!$GJ$14,""))</f>
        <v/>
      </c>
      <c r="B376" s="332">
        <f>IF(A376="",0,COUNTIF($A$25:$A376,'!'!$GJ$14))</f>
        <v>0</v>
      </c>
      <c r="C376" s="330"/>
      <c r="D376" s="328"/>
      <c r="E376" s="329"/>
      <c r="F376" s="329"/>
      <c r="G376" s="329"/>
      <c r="H376" s="329"/>
      <c r="I376" s="339" t="str">
        <f>IF(OR(VLOOKUP(C376,'!'!$GU$24:$HE$390,'!'!HE$17,FALSE)&gt;'!'!$GL$8,VLOOKUP(C376,'!'!$GU$24:$HE$390,'!'!HE$17,FALSE)&lt;'!'!$GL$7+1),"",$I$12)</f>
        <v/>
      </c>
      <c r="J376" s="357">
        <f>IF(Report!$G$4=C376,1,IF(Report!$H$4=C376,1,0))</f>
        <v>0</v>
      </c>
      <c r="K376" s="358">
        <f>SUM($J$25:J376)</f>
        <v>0</v>
      </c>
      <c r="L376" s="359"/>
    </row>
    <row r="377" spans="1:12" x14ac:dyDescent="0.35">
      <c r="A377" s="340" t="str">
        <f>IF(OR(C377&gt;Report!$H$4,C377&lt;Report!$G$4),"",IF(OR(J377*K377=1,K377-J377=1),'!'!$GJ$14,""))</f>
        <v/>
      </c>
      <c r="B377" s="332">
        <f>IF(A377="",0,COUNTIF($A$25:$A377,'!'!$GJ$14))</f>
        <v>0</v>
      </c>
      <c r="C377" s="330"/>
      <c r="D377" s="328"/>
      <c r="E377" s="329"/>
      <c r="F377" s="329"/>
      <c r="G377" s="329"/>
      <c r="H377" s="329"/>
      <c r="I377" s="339" t="str">
        <f>IF(OR(VLOOKUP(C377,'!'!$GU$24:$HE$390,'!'!HE$17,FALSE)&gt;'!'!$GL$8,VLOOKUP(C377,'!'!$GU$24:$HE$390,'!'!HE$17,FALSE)&lt;'!'!$GL$7+1),"",$I$12)</f>
        <v/>
      </c>
      <c r="J377" s="357">
        <f>IF(Report!$G$4=C377,1,IF(Report!$H$4=C377,1,0))</f>
        <v>0</v>
      </c>
      <c r="K377" s="358">
        <f>SUM($J$25:J377)</f>
        <v>0</v>
      </c>
      <c r="L377" s="359"/>
    </row>
    <row r="378" spans="1:12" x14ac:dyDescent="0.35">
      <c r="A378" s="340" t="str">
        <f>IF(OR(C378&gt;Report!$H$4,C378&lt;Report!$G$4),"",IF(OR(J378*K378=1,K378-J378=1),'!'!$GJ$14,""))</f>
        <v/>
      </c>
      <c r="B378" s="332">
        <f>IF(A378="",0,COUNTIF($A$25:$A378,'!'!$GJ$14))</f>
        <v>0</v>
      </c>
      <c r="C378" s="330"/>
      <c r="D378" s="328"/>
      <c r="E378" s="329"/>
      <c r="F378" s="329"/>
      <c r="G378" s="329"/>
      <c r="H378" s="329"/>
      <c r="I378" s="339" t="str">
        <f>IF(OR(VLOOKUP(C378,'!'!$GU$24:$HE$390,'!'!HE$17,FALSE)&gt;'!'!$GL$8,VLOOKUP(C378,'!'!$GU$24:$HE$390,'!'!HE$17,FALSE)&lt;'!'!$GL$7+1),"",$I$12)</f>
        <v/>
      </c>
      <c r="J378" s="357">
        <f>IF(Report!$G$4=C378,1,IF(Report!$H$4=C378,1,0))</f>
        <v>0</v>
      </c>
      <c r="K378" s="358">
        <f>SUM($J$25:J378)</f>
        <v>0</v>
      </c>
      <c r="L378" s="359"/>
    </row>
    <row r="379" spans="1:12" x14ac:dyDescent="0.35">
      <c r="A379" s="340" t="str">
        <f>IF(OR(C379&gt;Report!$H$4,C379&lt;Report!$G$4),"",IF(OR(J379*K379=1,K379-J379=1),'!'!$GJ$14,""))</f>
        <v/>
      </c>
      <c r="B379" s="332">
        <f>IF(A379="",0,COUNTIF($A$25:$A379,'!'!$GJ$14))</f>
        <v>0</v>
      </c>
      <c r="C379" s="330"/>
      <c r="D379" s="328"/>
      <c r="E379" s="329"/>
      <c r="F379" s="329"/>
      <c r="G379" s="329"/>
      <c r="H379" s="329"/>
      <c r="I379" s="339" t="str">
        <f>IF(OR(VLOOKUP(C379,'!'!$GU$24:$HE$390,'!'!HE$17,FALSE)&gt;'!'!$GL$8,VLOOKUP(C379,'!'!$GU$24:$HE$390,'!'!HE$17,FALSE)&lt;'!'!$GL$7+1),"",$I$12)</f>
        <v/>
      </c>
      <c r="J379" s="357">
        <f>IF(Report!$G$4=C379,1,IF(Report!$H$4=C379,1,0))</f>
        <v>0</v>
      </c>
      <c r="K379" s="358">
        <f>SUM($J$25:J379)</f>
        <v>0</v>
      </c>
      <c r="L379" s="359"/>
    </row>
    <row r="380" spans="1:12" x14ac:dyDescent="0.35">
      <c r="A380" s="340" t="str">
        <f>IF(OR(C380&gt;Report!$H$4,C380&lt;Report!$G$4),"",IF(OR(J380*K380=1,K380-J380=1),'!'!$GJ$14,""))</f>
        <v/>
      </c>
      <c r="B380" s="332">
        <f>IF(A380="",0,COUNTIF($A$25:$A380,'!'!$GJ$14))</f>
        <v>0</v>
      </c>
      <c r="C380" s="330"/>
      <c r="D380" s="328"/>
      <c r="E380" s="329"/>
      <c r="F380" s="329"/>
      <c r="G380" s="329"/>
      <c r="H380" s="329"/>
      <c r="I380" s="339" t="str">
        <f>IF(OR(VLOOKUP(C380,'!'!$GU$24:$HE$390,'!'!HE$17,FALSE)&gt;'!'!$GL$8,VLOOKUP(C380,'!'!$GU$24:$HE$390,'!'!HE$17,FALSE)&lt;'!'!$GL$7+1),"",$I$12)</f>
        <v/>
      </c>
      <c r="J380" s="357">
        <f>IF(Report!$G$4=C380,1,IF(Report!$H$4=C380,1,0))</f>
        <v>0</v>
      </c>
      <c r="K380" s="358">
        <f>SUM($J$25:J380)</f>
        <v>0</v>
      </c>
      <c r="L380" s="359"/>
    </row>
    <row r="381" spans="1:12" x14ac:dyDescent="0.35">
      <c r="A381" s="340" t="str">
        <f>IF(OR(C381&gt;Report!$H$4,C381&lt;Report!$G$4),"",IF(OR(J381*K381=1,K381-J381=1),'!'!$GJ$14,""))</f>
        <v/>
      </c>
      <c r="B381" s="332">
        <f>IF(A381="",0,COUNTIF($A$25:$A381,'!'!$GJ$14))</f>
        <v>0</v>
      </c>
      <c r="C381" s="330"/>
      <c r="D381" s="328"/>
      <c r="E381" s="329"/>
      <c r="F381" s="329"/>
      <c r="G381" s="329"/>
      <c r="H381" s="329"/>
      <c r="I381" s="339" t="str">
        <f>IF(OR(VLOOKUP(C381,'!'!$GU$24:$HE$390,'!'!HE$17,FALSE)&gt;'!'!$GL$8,VLOOKUP(C381,'!'!$GU$24:$HE$390,'!'!HE$17,FALSE)&lt;'!'!$GL$7+1),"",$I$12)</f>
        <v/>
      </c>
      <c r="J381" s="357">
        <f>IF(Report!$G$4=C381,1,IF(Report!$H$4=C381,1,0))</f>
        <v>0</v>
      </c>
      <c r="K381" s="358">
        <f>SUM($J$25:J381)</f>
        <v>0</v>
      </c>
      <c r="L381" s="359"/>
    </row>
    <row r="382" spans="1:12" x14ac:dyDescent="0.35">
      <c r="A382" s="340" t="str">
        <f>IF(OR(C382&gt;Report!$H$4,C382&lt;Report!$G$4),"",IF(OR(J382*K382=1,K382-J382=1),'!'!$GJ$14,""))</f>
        <v/>
      </c>
      <c r="B382" s="332">
        <f>IF(A382="",0,COUNTIF($A$25:$A382,'!'!$GJ$14))</f>
        <v>0</v>
      </c>
      <c r="C382" s="330"/>
      <c r="D382" s="328"/>
      <c r="E382" s="329"/>
      <c r="F382" s="329"/>
      <c r="G382" s="329"/>
      <c r="H382" s="329"/>
      <c r="I382" s="339" t="str">
        <f>IF(OR(VLOOKUP(C382,'!'!$GU$24:$HE$390,'!'!HE$17,FALSE)&gt;'!'!$GL$8,VLOOKUP(C382,'!'!$GU$24:$HE$390,'!'!HE$17,FALSE)&lt;'!'!$GL$7+1),"",$I$12)</f>
        <v/>
      </c>
      <c r="J382" s="357">
        <f>IF(Report!$G$4=C382,1,IF(Report!$H$4=C382,1,0))</f>
        <v>0</v>
      </c>
      <c r="K382" s="358">
        <f>SUM($J$25:J382)</f>
        <v>0</v>
      </c>
      <c r="L382" s="359"/>
    </row>
    <row r="383" spans="1:12" x14ac:dyDescent="0.35">
      <c r="A383" s="340" t="str">
        <f>IF(OR(C383&gt;Report!$H$4,C383&lt;Report!$G$4),"",IF(OR(J383*K383=1,K383-J383=1),'!'!$GJ$14,""))</f>
        <v/>
      </c>
      <c r="B383" s="332">
        <f>IF(A383="",0,COUNTIF($A$25:$A383,'!'!$GJ$14))</f>
        <v>0</v>
      </c>
      <c r="C383" s="330"/>
      <c r="D383" s="328"/>
      <c r="E383" s="329"/>
      <c r="F383" s="329"/>
      <c r="G383" s="329"/>
      <c r="H383" s="329"/>
      <c r="I383" s="339" t="str">
        <f>IF(OR(VLOOKUP(C383,'!'!$GU$24:$HE$390,'!'!HE$17,FALSE)&gt;'!'!$GL$8,VLOOKUP(C383,'!'!$GU$24:$HE$390,'!'!HE$17,FALSE)&lt;'!'!$GL$7+1),"",$I$12)</f>
        <v/>
      </c>
      <c r="J383" s="357">
        <f>IF(Report!$G$4=C383,1,IF(Report!$H$4=C383,1,0))</f>
        <v>0</v>
      </c>
      <c r="K383" s="358">
        <f>SUM($J$25:J383)</f>
        <v>0</v>
      </c>
      <c r="L383" s="359"/>
    </row>
    <row r="384" spans="1:12" x14ac:dyDescent="0.35">
      <c r="A384" s="340" t="str">
        <f>IF(OR(C384&gt;Report!$H$4,C384&lt;Report!$G$4),"",IF(OR(J384*K384=1,K384-J384=1),'!'!$GJ$14,""))</f>
        <v/>
      </c>
      <c r="B384" s="332">
        <f>IF(A384="",0,COUNTIF($A$25:$A384,'!'!$GJ$14))</f>
        <v>0</v>
      </c>
      <c r="C384" s="330"/>
      <c r="D384" s="328"/>
      <c r="E384" s="329"/>
      <c r="F384" s="329"/>
      <c r="G384" s="329"/>
      <c r="H384" s="329"/>
      <c r="I384" s="339" t="str">
        <f>IF(OR(VLOOKUP(C384,'!'!$GU$24:$HE$390,'!'!HE$17,FALSE)&gt;'!'!$GL$8,VLOOKUP(C384,'!'!$GU$24:$HE$390,'!'!HE$17,FALSE)&lt;'!'!$GL$7+1),"",$I$12)</f>
        <v/>
      </c>
      <c r="J384" s="357">
        <f>IF(Report!$G$4=C384,1,IF(Report!$H$4=C384,1,0))</f>
        <v>0</v>
      </c>
      <c r="K384" s="358">
        <f>SUM($J$25:J384)</f>
        <v>0</v>
      </c>
      <c r="L384" s="359"/>
    </row>
    <row r="385" spans="1:12" x14ac:dyDescent="0.35">
      <c r="A385" s="340" t="str">
        <f>IF(OR(C385&gt;Report!$H$4,C385&lt;Report!$G$4),"",IF(OR(J385*K385=1,K385-J385=1),'!'!$GJ$14,""))</f>
        <v/>
      </c>
      <c r="B385" s="332">
        <f>IF(A385="",0,COUNTIF($A$25:$A385,'!'!$GJ$14))</f>
        <v>0</v>
      </c>
      <c r="C385" s="330"/>
      <c r="D385" s="328"/>
      <c r="E385" s="329"/>
      <c r="F385" s="329"/>
      <c r="G385" s="329"/>
      <c r="H385" s="329"/>
      <c r="I385" s="339" t="str">
        <f>IF(OR(VLOOKUP(C385,'!'!$GU$24:$HE$390,'!'!HE$17,FALSE)&gt;'!'!$GL$8,VLOOKUP(C385,'!'!$GU$24:$HE$390,'!'!HE$17,FALSE)&lt;'!'!$GL$7+1),"",$I$12)</f>
        <v/>
      </c>
      <c r="J385" s="357">
        <f>IF(Report!$G$4=C385,1,IF(Report!$H$4=C385,1,0))</f>
        <v>0</v>
      </c>
      <c r="K385" s="358">
        <f>SUM($J$25:J385)</f>
        <v>0</v>
      </c>
      <c r="L385" s="359"/>
    </row>
    <row r="386" spans="1:12" x14ac:dyDescent="0.35">
      <c r="A386" s="340" t="str">
        <f>IF(OR(C386&gt;Report!$H$4,C386&lt;Report!$G$4),"",IF(OR(J386*K386=1,K386-J386=1),'!'!$GJ$14,""))</f>
        <v/>
      </c>
      <c r="B386" s="332">
        <f>IF(A386="",0,COUNTIF($A$25:$A386,'!'!$GJ$14))</f>
        <v>0</v>
      </c>
      <c r="C386" s="330"/>
      <c r="D386" s="328"/>
      <c r="E386" s="329"/>
      <c r="F386" s="329"/>
      <c r="G386" s="329"/>
      <c r="H386" s="329"/>
      <c r="I386" s="339" t="str">
        <f>IF(OR(VLOOKUP(C386,'!'!$GU$24:$HE$390,'!'!HE$17,FALSE)&gt;'!'!$GL$8,VLOOKUP(C386,'!'!$GU$24:$HE$390,'!'!HE$17,FALSE)&lt;'!'!$GL$7+1),"",$I$12)</f>
        <v/>
      </c>
      <c r="J386" s="357">
        <f>IF(Report!$G$4=C386,1,IF(Report!$H$4=C386,1,0))</f>
        <v>0</v>
      </c>
      <c r="K386" s="358">
        <f>SUM($J$25:J386)</f>
        <v>0</v>
      </c>
      <c r="L386" s="359"/>
    </row>
    <row r="387" spans="1:12" x14ac:dyDescent="0.35">
      <c r="A387" s="340" t="str">
        <f>IF(OR(C387&gt;Report!$H$4,C387&lt;Report!$G$4),"",IF(OR(J387*K387=1,K387-J387=1),'!'!$GJ$14,""))</f>
        <v/>
      </c>
      <c r="B387" s="332">
        <f>IF(A387="",0,COUNTIF($A$25:$A387,'!'!$GJ$14))</f>
        <v>0</v>
      </c>
      <c r="C387" s="330"/>
      <c r="D387" s="328"/>
      <c r="E387" s="329"/>
      <c r="F387" s="329"/>
      <c r="G387" s="329"/>
      <c r="H387" s="329"/>
      <c r="I387" s="339" t="str">
        <f>IF(OR(VLOOKUP(C387,'!'!$GU$24:$HE$390,'!'!HE$17,FALSE)&gt;'!'!$GL$8,VLOOKUP(C387,'!'!$GU$24:$HE$390,'!'!HE$17,FALSE)&lt;'!'!$GL$7+1),"",$I$12)</f>
        <v/>
      </c>
      <c r="J387" s="357">
        <f>IF(Report!$G$4=C387,1,IF(Report!$H$4=C387,1,0))</f>
        <v>0</v>
      </c>
      <c r="K387" s="358">
        <f>SUM($J$25:J387)</f>
        <v>0</v>
      </c>
      <c r="L387" s="359"/>
    </row>
    <row r="388" spans="1:12" x14ac:dyDescent="0.35">
      <c r="A388" s="340" t="str">
        <f>IF(OR(C388&gt;Report!$H$4,C388&lt;Report!$G$4),"",IF(OR(J388*K388=1,K388-J388=1),'!'!$GJ$14,""))</f>
        <v/>
      </c>
      <c r="B388" s="332">
        <f>IF(A388="",0,COUNTIF($A$25:$A388,'!'!$GJ$14))</f>
        <v>0</v>
      </c>
      <c r="C388" s="330"/>
      <c r="D388" s="328"/>
      <c r="E388" s="329"/>
      <c r="F388" s="329"/>
      <c r="G388" s="329"/>
      <c r="H388" s="329"/>
      <c r="I388" s="339" t="str">
        <f>IF(OR(VLOOKUP(C388,'!'!$GU$24:$HE$390,'!'!HE$17,FALSE)&gt;'!'!$GL$8,VLOOKUP(C388,'!'!$GU$24:$HE$390,'!'!HE$17,FALSE)&lt;'!'!$GL$7+1),"",$I$12)</f>
        <v/>
      </c>
      <c r="J388" s="357">
        <f>IF(Report!$G$4=C388,1,IF(Report!$H$4=C388,1,0))</f>
        <v>0</v>
      </c>
      <c r="K388" s="358">
        <f>SUM($J$25:J388)</f>
        <v>0</v>
      </c>
      <c r="L388" s="359"/>
    </row>
    <row r="389" spans="1:12" x14ac:dyDescent="0.35">
      <c r="A389" s="340" t="str">
        <f>IF(OR(C389&gt;Report!$H$4,C389&lt;Report!$G$4),"",IF(OR(J389*K389=1,K389-J389=1),'!'!$GJ$14,""))</f>
        <v/>
      </c>
      <c r="B389" s="332">
        <f>IF(A389="",0,COUNTIF($A$25:$A389,'!'!$GJ$14))</f>
        <v>0</v>
      </c>
      <c r="C389" s="330"/>
      <c r="D389" s="328"/>
      <c r="E389" s="329"/>
      <c r="F389" s="329"/>
      <c r="G389" s="329"/>
      <c r="H389" s="329"/>
      <c r="I389" s="339" t="str">
        <f>IF(OR(VLOOKUP(C389,'!'!$GU$24:$HE$390,'!'!HE$17,FALSE)&gt;'!'!$GL$8,VLOOKUP(C389,'!'!$GU$24:$HE$390,'!'!HE$17,FALSE)&lt;'!'!$GL$7+1),"",$I$12)</f>
        <v/>
      </c>
      <c r="J389" s="357">
        <f>IF(Report!$G$4=C389,1,IF(Report!$H$4=C389,1,0))</f>
        <v>0</v>
      </c>
      <c r="K389" s="358">
        <f>SUM($J$25:J389)</f>
        <v>0</v>
      </c>
      <c r="L389" s="359"/>
    </row>
    <row r="390" spans="1:12" x14ac:dyDescent="0.35">
      <c r="A390" s="340" t="str">
        <f>IF(OR(C390&gt;Report!$H$4,C390&lt;Report!$G$4),"",IF(OR(J390*K390=1,K390-J390=1),'!'!$GJ$14,""))</f>
        <v/>
      </c>
      <c r="B390" s="332">
        <f>IF(A390="",0,COUNTIF($A$25:$A390,'!'!$GJ$14))</f>
        <v>0</v>
      </c>
      <c r="C390" s="330"/>
      <c r="D390" s="328"/>
      <c r="E390" s="329"/>
      <c r="F390" s="329"/>
      <c r="G390" s="329"/>
      <c r="H390" s="329"/>
      <c r="I390" s="339" t="str">
        <f>IF(OR(VLOOKUP(C390,'!'!$GU$24:$HE$390,'!'!HE$17,FALSE)&gt;'!'!$GL$8,VLOOKUP(C390,'!'!$GU$24:$HE$390,'!'!HE$17,FALSE)&lt;'!'!$GL$7+1),"",$I$12)</f>
        <v/>
      </c>
      <c r="J390" s="357">
        <f>IF(Report!$G$4=C390,1,IF(Report!$H$4=C390,1,0))</f>
        <v>0</v>
      </c>
      <c r="K390" s="358">
        <f>SUM($J$25:J390)</f>
        <v>0</v>
      </c>
      <c r="L390" s="359"/>
    </row>
  </sheetData>
  <sheetProtection algorithmName="SHA-512" hashValue="3XiyaskGAN45N5Ms5QqIkhX3V7W8nea9GiGixW1d5TJIA71t0oZVLC/NP5kUZgzo/cx9tYHrTMS9zDj4AIoLpg==" saltValue="UZF5eU4ToCFnfDy9K5ENjw==" spinCount="100000" sheet="1" formatCells="0" formatColumns="0" formatRows="0"/>
  <sortState xmlns:xlrd2="http://schemas.microsoft.com/office/spreadsheetml/2017/richdata2" ref="U30:U32">
    <sortCondition ref="U30"/>
  </sortState>
  <dataConsolidate/>
  <mergeCells count="8">
    <mergeCell ref="E9:H9"/>
    <mergeCell ref="C13:E13"/>
    <mergeCell ref="C14:H14"/>
    <mergeCell ref="F15:H15"/>
    <mergeCell ref="D16:D17"/>
    <mergeCell ref="E16:E17"/>
    <mergeCell ref="F16:H17"/>
    <mergeCell ref="C17:C19"/>
  </mergeCells>
  <conditionalFormatting sqref="E18">
    <cfRule type="expression" dxfId="5" priority="9">
      <formula>E18="AN"</formula>
    </cfRule>
  </conditionalFormatting>
  <conditionalFormatting sqref="F18">
    <cfRule type="expression" dxfId="4" priority="3">
      <formula>F18="AN"</formula>
    </cfRule>
  </conditionalFormatting>
  <conditionalFormatting sqref="G18">
    <cfRule type="expression" dxfId="3" priority="2">
      <formula>G18="AN"</formula>
    </cfRule>
  </conditionalFormatting>
  <conditionalFormatting sqref="H18">
    <cfRule type="expression" dxfId="2" priority="1">
      <formula>H18="AN"</formula>
    </cfRule>
  </conditionalFormatting>
  <dataValidations count="3">
    <dataValidation type="decimal" operator="greaterThanOrEqual" allowBlank="1" showInputMessage="1" showErrorMessage="1" errorTitle="Nur Zahlen größer/gleich Null!" error="Da Wurzeln aus Zahlen kleiner Null nicht möglich sind und Exponenten 2. Grades das Vorzeichen auflösen, dürfen nur Zahlen größer oder gleich Null eingegeben werden._x000a__x000a_Statt Temperaturen T-Differenzen eingeben" sqref="D25:G390 H39:H390" xr:uid="{00000000-0002-0000-0300-000000000000}">
      <formula1>0</formula1>
    </dataValidation>
    <dataValidation type="list" allowBlank="1" showInputMessage="1" showErrorMessage="1" sqref="C21 C23" xr:uid="{00000000-0002-0000-0300-000001000000}">
      <formula1>Zeitraum.B</formula1>
    </dataValidation>
    <dataValidation type="date" allowBlank="1" showInputMessage="1" showErrorMessage="1" sqref="C25:C390" xr:uid="{00000000-0002-0000-0300-000002000000}">
      <formula1>1</formula1>
      <formula2>73414</formula2>
    </dataValidation>
  </dataValidation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92D050"/>
  </sheetPr>
  <dimension ref="B1:Y59"/>
  <sheetViews>
    <sheetView showGridLines="0" showZeros="0" topLeftCell="D19" zoomScale="85" zoomScaleNormal="85" workbookViewId="0">
      <selection activeCell="Y56" sqref="Y56"/>
    </sheetView>
  </sheetViews>
  <sheetFormatPr baseColWidth="10" defaultColWidth="11.453125" defaultRowHeight="14.5" x14ac:dyDescent="0.35"/>
  <cols>
    <col min="1" max="3" width="0" style="4" hidden="1" customWidth="1"/>
    <col min="4" max="4" width="40.7265625" style="4" customWidth="1"/>
    <col min="5" max="5" width="17" style="4" customWidth="1"/>
    <col min="6" max="6" width="29.7265625" style="4" customWidth="1"/>
    <col min="7" max="7" width="19.1796875" style="4" customWidth="1"/>
    <col min="8" max="8" width="21" style="4" customWidth="1"/>
    <col min="9" max="9" width="22.26953125" style="4" customWidth="1"/>
    <col min="10" max="10" width="17.81640625" style="4" customWidth="1"/>
    <col min="11" max="11" width="16.26953125" style="4" customWidth="1"/>
    <col min="12" max="12" width="10" style="14" customWidth="1"/>
    <col min="13" max="13" width="2.453125" style="14" hidden="1" customWidth="1"/>
    <col min="14" max="14" width="9.54296875" style="14" hidden="1" customWidth="1"/>
    <col min="15" max="15" width="20.453125" style="14" hidden="1" customWidth="1"/>
    <col min="16" max="16" width="16" style="14" hidden="1" customWidth="1"/>
    <col min="17" max="17" width="34.26953125" style="14" hidden="1" customWidth="1"/>
    <col min="18" max="18" width="12.1796875" style="14" hidden="1" customWidth="1"/>
    <col min="19" max="19" width="13.1796875" style="14" hidden="1" customWidth="1"/>
    <col min="20" max="20" width="15.81640625" style="14" hidden="1" customWidth="1"/>
    <col min="21" max="23" width="9.1796875" style="14" hidden="1" customWidth="1"/>
    <col min="24" max="24" width="11.453125" style="14" hidden="1" customWidth="1"/>
    <col min="25" max="25" width="11.453125" style="14" customWidth="1"/>
    <col min="26" max="26" width="11.453125" style="4" customWidth="1"/>
    <col min="27" max="16384" width="11.453125" style="4"/>
  </cols>
  <sheetData>
    <row r="1" spans="4:23" ht="37.5" customHeight="1" x14ac:dyDescent="0.35">
      <c r="D1" s="2"/>
      <c r="E1" s="302" t="str">
        <f>'Translation Table (internal)'!A27</f>
        <v>Calculate Modell and Evaluate Usability</v>
      </c>
      <c r="G1" s="26"/>
      <c r="H1" s="26"/>
      <c r="J1" s="26"/>
      <c r="K1" s="300" t="str">
        <f>'Translation Table (internal)'!A28</f>
        <v>No Table Protection: Don´t change Formulas!</v>
      </c>
    </row>
    <row r="2" spans="4:23" ht="12" customHeight="1" x14ac:dyDescent="0.35"/>
    <row r="3" spans="4:23" ht="10.5" customHeight="1" x14ac:dyDescent="0.35"/>
    <row r="4" spans="4:23" ht="13.5" customHeight="1" thickBot="1" x14ac:dyDescent="0.4">
      <c r="D4" s="149" t="str">
        <f>'Translation Table (internal)'!A29</f>
        <v>Every Time, when Data or Settings are changed in table "Reference", you need repeat this Step! Otherwise Results will be wrong!</v>
      </c>
      <c r="E4" s="54"/>
      <c r="F4" s="55"/>
      <c r="G4" s="55"/>
      <c r="H4" s="55"/>
      <c r="I4" s="55"/>
      <c r="J4" s="55"/>
      <c r="K4" s="55"/>
      <c r="L4" s="142"/>
    </row>
    <row r="5" spans="4:23" x14ac:dyDescent="0.35">
      <c r="D5" s="56" t="str">
        <f>'Translation Table (internal)'!A30</f>
        <v>Select "Data" -&gt; "Data Analysis" -&gt; "Regression" and simply type in "Input Y Range" an "y",  in "Input X Range" an "x". Further select "Output Range" and type in an "a". Don´t change further settings</v>
      </c>
      <c r="E5" s="124"/>
      <c r="F5" s="124"/>
      <c r="G5" s="124"/>
      <c r="H5" s="124"/>
      <c r="I5" s="124"/>
      <c r="J5" s="124"/>
      <c r="K5" s="136"/>
      <c r="L5" s="143"/>
    </row>
    <row r="6" spans="4:23" ht="15" thickBot="1" x14ac:dyDescent="0.4">
      <c r="D6" s="57"/>
      <c r="E6" s="135"/>
      <c r="F6" s="30" t="str">
        <f>'Translation Table (internal)'!A31</f>
        <v>Input Y Range</v>
      </c>
      <c r="G6" s="125" t="s">
        <v>56</v>
      </c>
      <c r="H6" s="30" t="str">
        <f>'Translation Table (internal)'!A32</f>
        <v>Input X Range</v>
      </c>
      <c r="I6" s="31" t="s">
        <v>55</v>
      </c>
      <c r="J6" s="30" t="str">
        <f>'Translation Table (internal)'!A33</f>
        <v>Output Range</v>
      </c>
      <c r="K6" s="137" t="s">
        <v>59</v>
      </c>
    </row>
    <row r="7" spans="4:23" ht="16.5" customHeight="1" x14ac:dyDescent="0.45">
      <c r="D7" s="126"/>
      <c r="F7" s="15"/>
      <c r="G7" s="15"/>
      <c r="H7" s="15"/>
      <c r="I7" s="32"/>
      <c r="J7" s="15"/>
      <c r="K7" s="15"/>
      <c r="L7" s="143"/>
      <c r="O7" t="s">
        <v>11</v>
      </c>
      <c r="P7"/>
      <c r="Q7"/>
      <c r="R7"/>
      <c r="S7"/>
      <c r="T7"/>
      <c r="U7"/>
      <c r="V7"/>
      <c r="W7"/>
    </row>
    <row r="8" spans="4:23" ht="11.25" customHeight="1" thickBot="1" x14ac:dyDescent="0.4">
      <c r="O8"/>
      <c r="P8"/>
      <c r="Q8"/>
      <c r="R8"/>
      <c r="S8"/>
      <c r="T8"/>
      <c r="U8"/>
      <c r="V8"/>
      <c r="W8"/>
    </row>
    <row r="9" spans="4:23" ht="19.5" customHeight="1" thickBot="1" x14ac:dyDescent="0.4">
      <c r="D9" s="190" t="str">
        <f>'Translation Table (internal)'!A34</f>
        <v>Regression Modell (on basis of Data Analysis from/to:</v>
      </c>
      <c r="E9" s="134"/>
      <c r="F9" s="207">
        <f>Reference!C21</f>
        <v>42736</v>
      </c>
      <c r="G9" s="208">
        <f>Reference!C23</f>
        <v>43070</v>
      </c>
      <c r="H9" s="179" t="str">
        <f>'Translation Table (internal)'!A35</f>
        <v>, basis for Data Analysis were Periods of:</v>
      </c>
      <c r="I9" s="205"/>
      <c r="J9" s="206" t="str">
        <f>Reference!C17</f>
        <v>Month</v>
      </c>
      <c r="K9" s="4" t="s">
        <v>141</v>
      </c>
      <c r="O9" s="9" t="s">
        <v>12</v>
      </c>
      <c r="P9" s="9"/>
      <c r="Q9"/>
      <c r="R9"/>
      <c r="S9"/>
      <c r="T9"/>
      <c r="U9"/>
      <c r="V9"/>
      <c r="W9"/>
    </row>
    <row r="10" spans="4:23" ht="24" customHeight="1" x14ac:dyDescent="0.35">
      <c r="D10" s="504" t="str">
        <f>Report!C51</f>
        <v>Gas Consumtion (Modell) [MWh] =+35,8804490905084*x1+5,76555845812914*x2+19,2408717507731*x3+626,183629</v>
      </c>
      <c r="E10" s="505"/>
      <c r="F10" s="505"/>
      <c r="G10" s="505"/>
      <c r="H10" s="505"/>
      <c r="I10" s="505"/>
      <c r="J10" s="505"/>
      <c r="K10" s="506"/>
      <c r="O10" s="6" t="s">
        <v>13</v>
      </c>
      <c r="P10" s="6">
        <v>0.98387786132489652</v>
      </c>
      <c r="Q10"/>
      <c r="R10"/>
      <c r="S10"/>
      <c r="T10"/>
      <c r="U10"/>
      <c r="V10"/>
      <c r="W10"/>
    </row>
    <row r="11" spans="4:23" ht="15.75" customHeight="1" thickBot="1" x14ac:dyDescent="0.4">
      <c r="D11" s="507"/>
      <c r="E11" s="508"/>
      <c r="F11" s="508"/>
      <c r="G11" s="508"/>
      <c r="H11" s="508"/>
      <c r="I11" s="508"/>
      <c r="J11" s="508"/>
      <c r="K11" s="509"/>
      <c r="O11" s="6" t="s">
        <v>9</v>
      </c>
      <c r="P11" s="6">
        <v>0.96801564600525225</v>
      </c>
      <c r="Q11"/>
      <c r="R11"/>
      <c r="S11"/>
      <c r="T11"/>
      <c r="U11"/>
      <c r="V11"/>
      <c r="W11"/>
    </row>
    <row r="12" spans="4:23" ht="17.25" customHeight="1" x14ac:dyDescent="0.35">
      <c r="I12" s="32"/>
      <c r="J12" s="15"/>
      <c r="K12" s="15"/>
      <c r="L12" s="143"/>
      <c r="O12" s="6" t="s">
        <v>14</v>
      </c>
      <c r="P12" s="6">
        <v>0.95602151325722184</v>
      </c>
      <c r="Q12"/>
      <c r="R12"/>
      <c r="S12"/>
      <c r="T12"/>
      <c r="U12"/>
      <c r="V12"/>
      <c r="W12"/>
    </row>
    <row r="13" spans="4:23" ht="6" customHeight="1" x14ac:dyDescent="0.35">
      <c r="D13" s="191"/>
      <c r="E13" s="192"/>
      <c r="F13" s="193"/>
      <c r="G13" s="193"/>
      <c r="H13" s="193"/>
      <c r="I13" s="194"/>
      <c r="J13" s="195"/>
      <c r="K13" s="196"/>
      <c r="O13" s="6" t="s">
        <v>15</v>
      </c>
      <c r="P13" s="6">
        <v>281.06305036153384</v>
      </c>
      <c r="Q13"/>
      <c r="R13"/>
      <c r="S13"/>
      <c r="T13"/>
      <c r="U13"/>
      <c r="V13"/>
      <c r="W13"/>
    </row>
    <row r="14" spans="4:23" ht="19" thickBot="1" x14ac:dyDescent="0.5">
      <c r="D14" s="181" t="str">
        <f>'Translation Table (internal)'!A36</f>
        <v>Grafical Evaluation: y-Modell and y-Measurement</v>
      </c>
      <c r="O14" s="7" t="s">
        <v>16</v>
      </c>
      <c r="P14" s="7">
        <v>12</v>
      </c>
      <c r="Q14"/>
      <c r="R14"/>
      <c r="S14"/>
      <c r="T14"/>
      <c r="U14"/>
      <c r="V14"/>
      <c r="W14"/>
    </row>
    <row r="15" spans="4:23" x14ac:dyDescent="0.35">
      <c r="D15" s="514" t="str">
        <f>'Translation Table (internal)'!A37</f>
        <v>Good Models should show a good linear Correspondence</v>
      </c>
      <c r="E15" s="515"/>
      <c r="F15" s="515"/>
      <c r="G15" s="515"/>
      <c r="O15"/>
      <c r="P15"/>
      <c r="Q15"/>
      <c r="R15"/>
      <c r="S15"/>
      <c r="T15"/>
      <c r="U15"/>
      <c r="V15"/>
      <c r="W15"/>
    </row>
    <row r="16" spans="4:23" ht="15" thickBot="1" x14ac:dyDescent="0.4">
      <c r="D16" s="515"/>
      <c r="E16" s="515"/>
      <c r="F16" s="515"/>
      <c r="G16" s="515"/>
      <c r="O16" t="s">
        <v>17</v>
      </c>
      <c r="P16"/>
      <c r="Q16"/>
      <c r="R16"/>
      <c r="S16"/>
      <c r="T16"/>
      <c r="U16"/>
      <c r="V16"/>
      <c r="W16"/>
    </row>
    <row r="17" spans="4:23" ht="6" customHeight="1" x14ac:dyDescent="0.35">
      <c r="D17" s="180"/>
      <c r="H17" s="184"/>
      <c r="O17" s="8"/>
      <c r="P17" s="8" t="s">
        <v>22</v>
      </c>
      <c r="Q17" s="8" t="s">
        <v>23</v>
      </c>
      <c r="R17" s="8" t="s">
        <v>24</v>
      </c>
      <c r="S17" s="8" t="s">
        <v>25</v>
      </c>
      <c r="T17" s="8" t="s">
        <v>26</v>
      </c>
      <c r="U17"/>
      <c r="V17"/>
      <c r="W17"/>
    </row>
    <row r="18" spans="4:23" ht="10.5" hidden="1" customHeight="1" thickBot="1" x14ac:dyDescent="0.4">
      <c r="H18" s="89" t="str">
        <f>Reference!D23</f>
        <v>MWh</v>
      </c>
      <c r="O18" s="6" t="s">
        <v>18</v>
      </c>
      <c r="P18" s="6">
        <v>3</v>
      </c>
      <c r="Q18" s="6">
        <v>19126798.870438423</v>
      </c>
      <c r="R18" s="6">
        <v>6375599.6234794743</v>
      </c>
      <c r="S18" s="6">
        <v>80.707431403426384</v>
      </c>
      <c r="T18" s="6">
        <v>2.5422648311086364E-6</v>
      </c>
      <c r="U18"/>
      <c r="V18"/>
      <c r="W18"/>
    </row>
    <row r="19" spans="4:23" ht="18" customHeight="1" x14ac:dyDescent="0.35">
      <c r="O19" s="6" t="s">
        <v>19</v>
      </c>
      <c r="P19" s="6">
        <v>8</v>
      </c>
      <c r="Q19" s="6">
        <v>631971.50622824079</v>
      </c>
      <c r="R19" s="6">
        <v>78996.438278530099</v>
      </c>
      <c r="S19" s="6"/>
      <c r="T19" s="6"/>
      <c r="U19"/>
      <c r="V19"/>
      <c r="W19"/>
    </row>
    <row r="20" spans="4:23" ht="15.75" customHeight="1" thickBot="1" x14ac:dyDescent="0.4">
      <c r="D20" s="516" t="str">
        <f>CONCATENATE(Reference!D21," (Messung)"," [",Reference!D23,"]")</f>
        <v>Gas Consumtion (Messung) [MWh]</v>
      </c>
      <c r="L20" s="144"/>
      <c r="M20" s="144"/>
      <c r="O20" s="7" t="s">
        <v>20</v>
      </c>
      <c r="P20" s="7">
        <v>11</v>
      </c>
      <c r="Q20" s="7">
        <v>19758770.376666665</v>
      </c>
      <c r="R20" s="7"/>
      <c r="S20" s="7"/>
      <c r="T20" s="7"/>
      <c r="U20"/>
      <c r="V20"/>
      <c r="W20"/>
    </row>
    <row r="21" spans="4:23" ht="15" thickBot="1" x14ac:dyDescent="0.4">
      <c r="D21" s="517"/>
      <c r="E21" s="217"/>
      <c r="L21" s="144"/>
      <c r="M21" s="144"/>
      <c r="O21"/>
      <c r="P21"/>
      <c r="Q21"/>
      <c r="R21"/>
      <c r="S21"/>
      <c r="T21"/>
      <c r="U21"/>
      <c r="V21"/>
      <c r="W21"/>
    </row>
    <row r="22" spans="4:23" x14ac:dyDescent="0.35">
      <c r="D22" s="517"/>
      <c r="E22" s="217"/>
      <c r="L22" s="143"/>
      <c r="O22" s="8"/>
      <c r="P22" s="8" t="s">
        <v>27</v>
      </c>
      <c r="Q22" s="8" t="s">
        <v>15</v>
      </c>
      <c r="R22" s="8" t="s">
        <v>28</v>
      </c>
      <c r="S22" s="8" t="s">
        <v>10</v>
      </c>
      <c r="T22" s="8" t="s">
        <v>29</v>
      </c>
      <c r="U22" s="8" t="s">
        <v>30</v>
      </c>
      <c r="V22" s="8" t="s">
        <v>94</v>
      </c>
      <c r="W22" s="8" t="s">
        <v>95</v>
      </c>
    </row>
    <row r="23" spans="4:23" ht="8.25" customHeight="1" x14ac:dyDescent="0.35">
      <c r="D23" s="517"/>
      <c r="E23" s="217"/>
      <c r="L23" s="143"/>
      <c r="N23" s="27" t="s">
        <v>61</v>
      </c>
      <c r="O23" s="6" t="s">
        <v>21</v>
      </c>
      <c r="P23" s="6">
        <v>626.18362874044828</v>
      </c>
      <c r="Q23" s="6">
        <v>508.59809221848082</v>
      </c>
      <c r="R23" s="6">
        <v>1.231195394400842</v>
      </c>
      <c r="S23" s="6">
        <v>0.25321453523987802</v>
      </c>
      <c r="T23" s="6">
        <v>-546.64567507231891</v>
      </c>
      <c r="U23" s="6">
        <v>1799.0129325532155</v>
      </c>
      <c r="V23" s="6">
        <v>-546.64567507231891</v>
      </c>
      <c r="W23" s="6">
        <v>1799.0129325532155</v>
      </c>
    </row>
    <row r="24" spans="4:23" ht="12.75" customHeight="1" x14ac:dyDescent="0.35">
      <c r="D24" s="517"/>
      <c r="E24" s="217"/>
      <c r="L24" s="143"/>
      <c r="N24" s="28" t="str">
        <f>IF('!'!GW24=0,"",'!'!GW24)</f>
        <v>Production</v>
      </c>
      <c r="O24" s="6" t="s">
        <v>32</v>
      </c>
      <c r="P24" s="6">
        <v>35.880449090508378</v>
      </c>
      <c r="Q24" s="6">
        <v>2.9710248872278018</v>
      </c>
      <c r="R24" s="6">
        <v>12.076791831921556</v>
      </c>
      <c r="S24" s="6">
        <v>2.042111951883569E-6</v>
      </c>
      <c r="T24" s="6">
        <v>29.029253414766572</v>
      </c>
      <c r="U24" s="6">
        <v>42.731644766250184</v>
      </c>
      <c r="V24" s="6">
        <v>29.029253414766572</v>
      </c>
      <c r="W24" s="6">
        <v>42.731644766250184</v>
      </c>
    </row>
    <row r="25" spans="4:23" ht="16.5" customHeight="1" x14ac:dyDescent="0.35">
      <c r="D25" s="517"/>
      <c r="E25" s="217"/>
      <c r="L25" s="145"/>
      <c r="N25" s="28" t="str">
        <f>IF('!'!GX24=0,"",'!'!GX24)</f>
        <v>Heating degree Days</v>
      </c>
      <c r="O25" s="6" t="s">
        <v>182</v>
      </c>
      <c r="P25" s="6">
        <v>5.7655584581291377</v>
      </c>
      <c r="Q25" s="6">
        <v>0.40425627790680646</v>
      </c>
      <c r="R25" s="6">
        <v>14.262137097740451</v>
      </c>
      <c r="S25" s="6">
        <v>5.693897681261798E-7</v>
      </c>
      <c r="T25" s="6">
        <v>4.8333418095937972</v>
      </c>
      <c r="U25" s="6">
        <v>6.6977751066644782</v>
      </c>
      <c r="V25" s="6">
        <v>4.8333418095937972</v>
      </c>
      <c r="W25" s="6">
        <v>6.6977751066644782</v>
      </c>
    </row>
    <row r="26" spans="4:23" ht="5.25" customHeight="1" thickBot="1" x14ac:dyDescent="0.4">
      <c r="D26" s="517"/>
      <c r="E26" s="217"/>
      <c r="N26" s="28" t="str">
        <f>IF('!'!GY24=0,"",'!'!GY24)</f>
        <v>Days since last external Maintenance</v>
      </c>
      <c r="O26" s="7" t="s">
        <v>183</v>
      </c>
      <c r="P26" s="7">
        <v>19.240871750773113</v>
      </c>
      <c r="Q26" s="7">
        <v>2.5539132393751136</v>
      </c>
      <c r="R26" s="7">
        <v>7.5338783847962398</v>
      </c>
      <c r="S26" s="7">
        <v>6.70941949016257E-5</v>
      </c>
      <c r="T26" s="7">
        <v>13.351537259821431</v>
      </c>
      <c r="U26" s="7">
        <v>25.130206241724796</v>
      </c>
      <c r="V26" s="7">
        <v>13.351537259821431</v>
      </c>
      <c r="W26" s="7">
        <v>25.130206241724796</v>
      </c>
    </row>
    <row r="27" spans="4:23" ht="18.75" customHeight="1" x14ac:dyDescent="0.35">
      <c r="D27" s="517"/>
      <c r="E27" s="217"/>
      <c r="L27" s="145"/>
      <c r="N27" s="28" t="str">
        <f>IF('!'!GZ24=0,"",'!'!GZ24)</f>
        <v/>
      </c>
      <c r="O27"/>
      <c r="P27"/>
      <c r="Q27"/>
      <c r="R27"/>
      <c r="S27"/>
      <c r="T27"/>
      <c r="U27"/>
      <c r="V27"/>
      <c r="W27"/>
    </row>
    <row r="28" spans="4:23" ht="48.75" customHeight="1" x14ac:dyDescent="0.35">
      <c r="D28" s="517"/>
      <c r="E28" s="217"/>
      <c r="L28" s="145"/>
      <c r="N28" s="28" t="str">
        <f>IF('!'!HA24=0,"",'!'!HA24)</f>
        <v/>
      </c>
      <c r="O28"/>
      <c r="P28"/>
      <c r="Q28"/>
      <c r="R28"/>
      <c r="S28"/>
      <c r="T28"/>
      <c r="U28"/>
      <c r="V28"/>
      <c r="W28"/>
    </row>
    <row r="29" spans="4:23" x14ac:dyDescent="0.35">
      <c r="D29" s="517"/>
      <c r="E29" s="217"/>
      <c r="N29" s="28" t="str">
        <f>IF('!'!HB24=0,"",'!'!HB24)</f>
        <v/>
      </c>
      <c r="O29"/>
      <c r="P29"/>
      <c r="Q29"/>
      <c r="R29"/>
      <c r="S29"/>
      <c r="T29"/>
      <c r="U29"/>
      <c r="V29"/>
      <c r="W29"/>
    </row>
    <row r="30" spans="4:23" x14ac:dyDescent="0.35">
      <c r="D30" s="517"/>
      <c r="E30" s="217"/>
      <c r="L30" s="145"/>
      <c r="N30" s="28" t="str">
        <f>IF('!'!HC24=0,"",'!'!HC24)</f>
        <v/>
      </c>
      <c r="O30"/>
      <c r="P30"/>
      <c r="Q30"/>
      <c r="R30"/>
      <c r="S30"/>
      <c r="T30"/>
      <c r="U30"/>
      <c r="V30"/>
      <c r="W30"/>
    </row>
    <row r="31" spans="4:23" ht="15" thickBot="1" x14ac:dyDescent="0.4">
      <c r="D31" s="517"/>
      <c r="E31" s="217"/>
      <c r="L31" s="146"/>
      <c r="N31" s="28" t="str">
        <f>IF('!'!HD24=0,"",'!'!HD24)</f>
        <v/>
      </c>
      <c r="O31" s="7" t="s">
        <v>144</v>
      </c>
      <c r="P31" s="7">
        <v>0</v>
      </c>
      <c r="Q31" s="7">
        <v>0</v>
      </c>
      <c r="R31" s="7">
        <v>65535</v>
      </c>
      <c r="S31" s="7" t="e">
        <v>#NUM!</v>
      </c>
      <c r="T31" s="7">
        <v>0</v>
      </c>
      <c r="U31" s="7">
        <v>0</v>
      </c>
      <c r="V31" s="7">
        <v>0</v>
      </c>
      <c r="W31" s="7">
        <v>0</v>
      </c>
    </row>
    <row r="32" spans="4:23" x14ac:dyDescent="0.35">
      <c r="D32" s="517"/>
      <c r="E32" s="217"/>
      <c r="J32" s="185"/>
      <c r="K32" s="186"/>
      <c r="L32" s="147"/>
      <c r="O32"/>
      <c r="P32"/>
      <c r="Q32"/>
      <c r="R32"/>
      <c r="S32"/>
      <c r="T32"/>
      <c r="U32"/>
      <c r="V32"/>
      <c r="W32"/>
    </row>
    <row r="33" spans="4:25" ht="15.5" x14ac:dyDescent="0.35">
      <c r="D33" s="517"/>
      <c r="E33" s="188"/>
      <c r="G33" s="25"/>
      <c r="L33" s="148"/>
      <c r="O33"/>
      <c r="P33"/>
      <c r="Q33"/>
      <c r="R33"/>
      <c r="S33"/>
      <c r="T33"/>
      <c r="U33"/>
      <c r="V33"/>
      <c r="W33"/>
    </row>
    <row r="34" spans="4:25" x14ac:dyDescent="0.35">
      <c r="D34" s="517"/>
      <c r="E34" s="217"/>
      <c r="L34" s="148"/>
      <c r="O34"/>
      <c r="P34"/>
      <c r="Q34"/>
      <c r="R34"/>
      <c r="S34"/>
      <c r="T34"/>
      <c r="U34"/>
      <c r="V34"/>
      <c r="W34"/>
    </row>
    <row r="35" spans="4:25" x14ac:dyDescent="0.35">
      <c r="D35" s="517"/>
      <c r="E35" s="218"/>
      <c r="G35" s="212"/>
      <c r="L35" s="148"/>
    </row>
    <row r="36" spans="4:25" x14ac:dyDescent="0.35">
      <c r="D36" s="203"/>
      <c r="E36" s="204"/>
      <c r="F36" s="211"/>
      <c r="G36" s="212"/>
      <c r="J36" s="209" t="str">
        <f>CONCATENATE(Reference!D21," (Modell)"," [",Reference!D23,"]")</f>
        <v>Gas Consumtion (Modell) [MWh]</v>
      </c>
      <c r="L36" s="182"/>
      <c r="M36" s="4"/>
      <c r="O36"/>
      <c r="P36"/>
      <c r="Q36"/>
      <c r="R36"/>
      <c r="S36"/>
      <c r="T36"/>
      <c r="U36"/>
      <c r="V36"/>
      <c r="W36"/>
      <c r="X36" s="4"/>
      <c r="Y36" s="4"/>
    </row>
    <row r="37" spans="4:25" ht="18.75" customHeight="1" x14ac:dyDescent="0.35">
      <c r="L37" s="72"/>
      <c r="M37" s="4"/>
      <c r="O37"/>
      <c r="P37"/>
      <c r="Q37"/>
      <c r="R37"/>
      <c r="S37" s="183"/>
      <c r="T37"/>
      <c r="U37"/>
      <c r="V37"/>
      <c r="W37"/>
      <c r="X37" s="4"/>
      <c r="Y37" s="4"/>
    </row>
    <row r="38" spans="4:25" hidden="1" x14ac:dyDescent="0.35">
      <c r="L38" s="72"/>
      <c r="M38" s="4"/>
      <c r="O38"/>
      <c r="P38"/>
      <c r="Q38"/>
      <c r="R38"/>
      <c r="S38"/>
      <c r="T38"/>
      <c r="U38"/>
      <c r="V38"/>
      <c r="W38"/>
      <c r="X38" s="4"/>
      <c r="Y38" s="4"/>
    </row>
    <row r="39" spans="4:25" hidden="1" x14ac:dyDescent="0.35">
      <c r="L39" s="72"/>
      <c r="M39" s="4"/>
      <c r="O39"/>
      <c r="P39"/>
      <c r="Q39"/>
      <c r="R39"/>
      <c r="S39"/>
      <c r="T39"/>
      <c r="U39"/>
      <c r="V39"/>
      <c r="W39"/>
      <c r="X39" s="4"/>
      <c r="Y39" s="4"/>
    </row>
    <row r="40" spans="4:25" hidden="1" x14ac:dyDescent="0.35">
      <c r="L40" s="4"/>
      <c r="M40" s="4"/>
      <c r="O40"/>
      <c r="P40"/>
      <c r="Q40"/>
      <c r="R40"/>
      <c r="S40"/>
      <c r="T40"/>
      <c r="U40"/>
      <c r="V40"/>
      <c r="W40"/>
      <c r="X40" s="4"/>
      <c r="Y40" s="4"/>
    </row>
    <row r="41" spans="4:25" hidden="1" x14ac:dyDescent="0.35">
      <c r="L41" s="4"/>
      <c r="M41" s="4"/>
      <c r="O41"/>
      <c r="P41"/>
      <c r="Q41"/>
      <c r="R41"/>
      <c r="S41"/>
      <c r="T41"/>
      <c r="U41"/>
      <c r="V41"/>
      <c r="W41"/>
      <c r="X41" s="4"/>
      <c r="Y41" s="4"/>
    </row>
    <row r="42" spans="4:25" ht="16" thickBot="1" x14ac:dyDescent="0.4">
      <c r="D42" s="85" t="str">
        <f>'Translation Table (internal)'!A38</f>
        <v>Statistical Evaluators on the whole Regression Model</v>
      </c>
      <c r="F42" s="15"/>
      <c r="G42" s="15"/>
      <c r="H42" s="85" t="str">
        <f>'Translation Table (internal)'!A47</f>
        <v>Analysis of Variation</v>
      </c>
      <c r="L42" s="4"/>
      <c r="M42" s="4"/>
      <c r="O42"/>
      <c r="P42"/>
      <c r="Q42"/>
      <c r="R42"/>
      <c r="S42"/>
      <c r="T42"/>
      <c r="U42"/>
      <c r="V42"/>
      <c r="W42"/>
      <c r="X42" s="4"/>
      <c r="Y42" s="4"/>
    </row>
    <row r="43" spans="4:25" ht="15" hidden="1" thickBot="1" x14ac:dyDescent="0.4">
      <c r="L43" s="4"/>
      <c r="M43" s="4"/>
      <c r="O43"/>
      <c r="P43"/>
      <c r="Q43"/>
      <c r="R43"/>
      <c r="S43"/>
      <c r="T43"/>
      <c r="U43"/>
      <c r="V43"/>
      <c r="W43"/>
      <c r="X43" s="4"/>
      <c r="Y43" s="4"/>
    </row>
    <row r="44" spans="4:25" ht="16" hidden="1" thickBot="1" x14ac:dyDescent="0.4">
      <c r="D44" s="303"/>
      <c r="E44" s="304"/>
      <c r="F44" s="273"/>
      <c r="G44" s="273"/>
      <c r="H44" s="81"/>
      <c r="I44" s="81"/>
      <c r="J44" s="81"/>
      <c r="K44" s="128"/>
      <c r="L44" s="4"/>
      <c r="M44" s="4"/>
      <c r="O44"/>
      <c r="P44"/>
      <c r="Q44"/>
      <c r="R44"/>
      <c r="S44"/>
      <c r="T44"/>
      <c r="U44"/>
      <c r="V44"/>
      <c r="W44"/>
      <c r="X44" s="4"/>
      <c r="Y44" s="4"/>
    </row>
    <row r="45" spans="4:25" ht="15.5" x14ac:dyDescent="0.35">
      <c r="D45" s="189" t="str">
        <f>'Translation Table (internal)'!A39</f>
        <v>MAPE</v>
      </c>
      <c r="E45" s="251">
        <f>'!'!HG19</f>
        <v>2.4187286931141652E-2</v>
      </c>
      <c r="F45" s="199" t="str">
        <f>'Translation Table (internal)'!A43</f>
        <v>F-Value (F-Test)</v>
      </c>
      <c r="G45" s="248">
        <f>IF($G$59=0,K46/K47,S18)</f>
        <v>80.707431403426384</v>
      </c>
      <c r="H45" s="198"/>
      <c r="I45" s="202" t="str">
        <f>'Translation Table (internal)'!A51</f>
        <v>Areas of Freedom (df)</v>
      </c>
      <c r="J45" s="202" t="str">
        <f>'Translation Table (internal)'!A52</f>
        <v>Variation</v>
      </c>
      <c r="K45" s="197" t="str">
        <f>'Translation Table (internal)'!A53</f>
        <v>Mean Variation</v>
      </c>
      <c r="L45" s="4"/>
      <c r="M45" s="4"/>
      <c r="O45"/>
      <c r="P45"/>
      <c r="Q45"/>
      <c r="R45"/>
      <c r="S45"/>
      <c r="T45"/>
      <c r="U45"/>
      <c r="V45"/>
      <c r="W45"/>
      <c r="X45" s="4"/>
      <c r="Y45" s="4"/>
    </row>
    <row r="46" spans="4:25" ht="15.5" x14ac:dyDescent="0.35">
      <c r="D46" s="127" t="str">
        <f>'Translation Table (internal)'!A40</f>
        <v>R²</v>
      </c>
      <c r="E46" s="252">
        <f>IF(G59=0,"no intercept!",P11)</f>
        <v>0.96801564600525225</v>
      </c>
      <c r="F46" s="10" t="str">
        <f>'Translation Table (internal)'!A44</f>
        <v>Multiple coefficient of correlation</v>
      </c>
      <c r="G46" s="301">
        <f>IF(G59=0,"no intercept!",E46^(1/2))</f>
        <v>0.98387786132489652</v>
      </c>
      <c r="H46" s="29" t="str">
        <f>'Translation Table (internal)'!A48</f>
        <v>Regression</v>
      </c>
      <c r="I46" s="247">
        <f>Baseline!P18</f>
        <v>3</v>
      </c>
      <c r="J46" s="244">
        <f>IF(G59=0,'!'!HJ23,Q18)</f>
        <v>19126798.870438423</v>
      </c>
      <c r="K46" s="241">
        <f>J46/I46</f>
        <v>6375599.6234794743</v>
      </c>
      <c r="L46" s="4"/>
      <c r="M46" s="4"/>
      <c r="O46"/>
      <c r="P46"/>
      <c r="Q46"/>
      <c r="R46"/>
      <c r="S46"/>
      <c r="T46"/>
      <c r="U46"/>
      <c r="V46"/>
      <c r="W46"/>
      <c r="X46" s="4"/>
      <c r="Y46" s="4"/>
    </row>
    <row r="47" spans="4:25" ht="15.5" x14ac:dyDescent="0.35">
      <c r="D47" s="127" t="str">
        <f>'Translation Table (internal)'!A41</f>
        <v>Adjusten R²</v>
      </c>
      <c r="E47" s="252">
        <f>IF(G59=0,"no intercept!",P12)</f>
        <v>0.95602151325722184</v>
      </c>
      <c r="F47" s="10" t="str">
        <f>'Translation Table (internal)'!A45</f>
        <v>Standard Deviation</v>
      </c>
      <c r="G47" s="249">
        <f>Baseline!P13</f>
        <v>281.06305036153384</v>
      </c>
      <c r="H47" s="29" t="str">
        <f>'Translation Table (internal)'!A49</f>
        <v>Residuals</v>
      </c>
      <c r="I47" s="245">
        <f>Baseline!P19</f>
        <v>8</v>
      </c>
      <c r="J47" s="245">
        <f>IF(G59=0,'!'!HI23,Q19)</f>
        <v>631971.50622824079</v>
      </c>
      <c r="K47" s="242">
        <f>J47/I47</f>
        <v>78996.438278530099</v>
      </c>
      <c r="L47" s="4"/>
      <c r="M47" s="4"/>
      <c r="O47"/>
      <c r="P47"/>
      <c r="Q47"/>
      <c r="R47"/>
      <c r="S47"/>
      <c r="T47"/>
      <c r="U47"/>
      <c r="V47"/>
      <c r="W47"/>
      <c r="X47" s="4"/>
      <c r="Y47" s="4"/>
    </row>
    <row r="48" spans="4:25" ht="16" thickBot="1" x14ac:dyDescent="0.4">
      <c r="D48" s="200" t="str">
        <f>'Translation Table (internal)'!A42</f>
        <v>P-Value (F crit)</v>
      </c>
      <c r="E48" s="253">
        <f>IF(G59=0,"no intercept!",IF(IF($G$59=0,FDIST(G45,I46,I47),T18)=0,"0,00%",IF($G$59=0,FDIST(G45,I46,I47),T18)))</f>
        <v>2.5422648311086364E-6</v>
      </c>
      <c r="F48" s="201" t="str">
        <f>'Translation Table (internal)'!A46</f>
        <v>Observations</v>
      </c>
      <c r="G48" s="250">
        <f>Baseline!P14</f>
        <v>12</v>
      </c>
      <c r="H48" s="123" t="str">
        <f>'Translation Table (internal)'!A50</f>
        <v>Alltogether</v>
      </c>
      <c r="I48" s="246">
        <f>Baseline!P20</f>
        <v>11</v>
      </c>
      <c r="J48" s="246">
        <f>IF(G59=0,'!'!HK23,Q20)</f>
        <v>19758770.376666665</v>
      </c>
      <c r="K48" s="243">
        <f>J48/I48</f>
        <v>1796251.8524242423</v>
      </c>
      <c r="L48" s="4"/>
      <c r="M48" s="4"/>
      <c r="O48"/>
      <c r="P48"/>
      <c r="Q48"/>
      <c r="R48"/>
      <c r="S48"/>
      <c r="T48"/>
      <c r="U48"/>
      <c r="V48"/>
      <c r="W48"/>
      <c r="X48" s="4"/>
      <c r="Y48" s="4"/>
    </row>
    <row r="49" spans="2:25" x14ac:dyDescent="0.35">
      <c r="F49" s="15"/>
      <c r="G49" s="15"/>
      <c r="H49" s="15"/>
      <c r="I49" s="32"/>
      <c r="J49" s="15"/>
      <c r="K49" s="15"/>
      <c r="L49" s="4"/>
      <c r="M49" s="4"/>
      <c r="O49"/>
      <c r="P49"/>
      <c r="Q49"/>
      <c r="R49"/>
      <c r="S49"/>
      <c r="T49"/>
      <c r="U49"/>
      <c r="V49"/>
      <c r="W49"/>
      <c r="X49" s="4"/>
      <c r="Y49" s="4"/>
    </row>
    <row r="50" spans="2:25" x14ac:dyDescent="0.35">
      <c r="D50" s="10"/>
      <c r="F50" s="15"/>
      <c r="G50" s="15"/>
      <c r="H50" s="15"/>
      <c r="I50" s="32"/>
      <c r="J50" s="15"/>
      <c r="K50" s="15"/>
      <c r="L50" s="4"/>
      <c r="M50" s="4"/>
      <c r="O50"/>
      <c r="P50"/>
      <c r="Q50"/>
      <c r="R50"/>
      <c r="S50"/>
      <c r="T50"/>
      <c r="U50"/>
      <c r="V50"/>
      <c r="W50"/>
      <c r="X50" s="4"/>
      <c r="Y50" s="4"/>
    </row>
    <row r="51" spans="2:25" ht="16" thickBot="1" x14ac:dyDescent="0.4">
      <c r="D51" s="25" t="str">
        <f>'Translation Table (internal)'!A54</f>
        <v>Coefficient for Variables an the Constant Value of the Regression Model</v>
      </c>
      <c r="H51" s="25" t="s">
        <v>138</v>
      </c>
      <c r="L51" s="4"/>
      <c r="M51" s="4"/>
      <c r="O51"/>
      <c r="P51"/>
      <c r="Q51"/>
      <c r="R51"/>
      <c r="S51"/>
      <c r="T51"/>
      <c r="U51"/>
      <c r="V51"/>
      <c r="W51"/>
      <c r="X51" s="4"/>
      <c r="Y51" s="4"/>
    </row>
    <row r="52" spans="2:25" ht="15" hidden="1" thickBot="1" x14ac:dyDescent="0.4">
      <c r="L52" s="4"/>
      <c r="M52" s="4"/>
      <c r="O52"/>
      <c r="P52"/>
      <c r="Q52"/>
      <c r="R52"/>
      <c r="S52"/>
      <c r="T52"/>
      <c r="U52"/>
      <c r="V52"/>
      <c r="W52"/>
      <c r="X52" s="4"/>
      <c r="Y52" s="4"/>
    </row>
    <row r="53" spans="2:25" ht="15.5" x14ac:dyDescent="0.35">
      <c r="D53" s="512" t="str">
        <f>'Translation Table (internal)'!A55</f>
        <v>Relevant Variables and Constant Value</v>
      </c>
      <c r="E53" s="513"/>
      <c r="F53" s="131" t="str">
        <f>'Translation Table (internal)'!A57</f>
        <v>Short Name</v>
      </c>
      <c r="G53" s="132" t="str">
        <f>'Translation Table (internal)'!A59</f>
        <v>Coefficient</v>
      </c>
      <c r="H53" s="130" t="str">
        <f>'Translation Table (internal)'!A61</f>
        <v>confidence intervall</v>
      </c>
      <c r="I53" s="129" t="str">
        <f>'Translation Table (internal)'!A63</f>
        <v>P-Value:</v>
      </c>
      <c r="J53" s="518" t="str">
        <f>'Translation Table (internal)'!A65</f>
        <v>Standard Deviation</v>
      </c>
      <c r="K53" s="520" t="str">
        <f>'Translation Table (internal)'!A66</f>
        <v>t-statistics</v>
      </c>
      <c r="L53" s="4"/>
      <c r="M53" s="4"/>
      <c r="O53"/>
      <c r="P53"/>
      <c r="Q53"/>
      <c r="R53"/>
      <c r="S53"/>
      <c r="T53"/>
      <c r="U53"/>
      <c r="V53"/>
      <c r="W53"/>
      <c r="X53" s="4"/>
      <c r="Y53" s="4"/>
    </row>
    <row r="54" spans="2:25" ht="44" thickBot="1" x14ac:dyDescent="0.4">
      <c r="D54" s="510" t="str">
        <f>'Translation Table (internal)'!A56</f>
        <v>Names of the Relevant Variables</v>
      </c>
      <c r="E54" s="511"/>
      <c r="F54" s="133" t="str">
        <f>'Translation Table (internal)'!A58</f>
        <v>Name in Model</v>
      </c>
      <c r="G54" s="139" t="str">
        <f>'Translation Table (internal)'!A60</f>
        <v>Coefficient, that is used as multiplier</v>
      </c>
      <c r="H54" s="138" t="str">
        <f>'Translation Table (internal)'!A62</f>
        <v>maximum Uncertanty in 95% of the cases</v>
      </c>
      <c r="I54" s="138" t="str">
        <f>'Translation Table (internal)'!A64</f>
        <v xml:space="preserve">Probability, that this Coefficient is only incidently </v>
      </c>
      <c r="J54" s="519"/>
      <c r="K54" s="521"/>
      <c r="L54" s="4"/>
      <c r="M54" s="4"/>
      <c r="O54"/>
      <c r="P54"/>
      <c r="Q54"/>
      <c r="R54"/>
      <c r="S54"/>
      <c r="T54"/>
      <c r="U54"/>
      <c r="V54"/>
      <c r="W54"/>
      <c r="X54" s="4"/>
      <c r="Y54" s="4"/>
    </row>
    <row r="55" spans="2:25" x14ac:dyDescent="0.35">
      <c r="B55" s="4">
        <f>SUM($C$55:C55)</f>
        <v>1</v>
      </c>
      <c r="C55" s="4">
        <f>IF(D55="-",0,1)</f>
        <v>1</v>
      </c>
      <c r="D55" s="496" t="str">
        <f>IF('!'!GX$16="","-",'!'!GX$19)</f>
        <v>Production</v>
      </c>
      <c r="E55" s="497"/>
      <c r="F55" s="214" t="str">
        <f>IF(K55=0,"",'!'!HJ4)</f>
        <v>x1</v>
      </c>
      <c r="G55" s="141">
        <f>IFERROR(VLOOKUP($D55,Baseline!$N$24:$W$31,'!'!GW$12,FALSE),0)</f>
        <v>35.880449090508378</v>
      </c>
      <c r="H55" s="215">
        <f>IF(D55="-","",VLOOKUP($D55,Baseline!$N$24:$W$31,8,FALSE)-G55)</f>
        <v>6.8511956757418062</v>
      </c>
      <c r="I55" s="187">
        <f>IF(F55="","",IF(IFERROR(VLOOKUP($D55,Baseline!$N$24:$W$31,'!'!GZ$12,FALSE),"")=0,"0,00%",IFERROR(VLOOKUP($D55,Baseline!$N$24:$W$31,'!'!GZ$12,FALSE),"")))</f>
        <v>2.042111951883569E-6</v>
      </c>
      <c r="J55" s="155">
        <f>IFERROR(VLOOKUP($D55,Baseline!$N$24:$W$31,'!'!GX$12,FALSE),0)</f>
        <v>2.9710248872278018</v>
      </c>
      <c r="K55" s="156">
        <f>IFERROR(VLOOKUP($D55,Baseline!$N$24:$W$31,'!'!GY$12,FALSE),0)</f>
        <v>12.076791831921556</v>
      </c>
      <c r="L55" s="4"/>
      <c r="M55" s="4"/>
      <c r="O55"/>
      <c r="P55"/>
      <c r="Q55"/>
      <c r="R55"/>
      <c r="S55"/>
      <c r="T55"/>
      <c r="U55"/>
      <c r="V55"/>
      <c r="W55"/>
      <c r="X55" s="4"/>
      <c r="Y55" s="4"/>
    </row>
    <row r="56" spans="2:25" x14ac:dyDescent="0.35">
      <c r="B56" s="4">
        <f>SUM($C$55:C56)</f>
        <v>2</v>
      </c>
      <c r="C56" s="4">
        <f>IF(D56="-",0,1)</f>
        <v>1</v>
      </c>
      <c r="D56" s="498" t="str">
        <f>IF('!'!GZ$16="","-",'!'!GZ$19)</f>
        <v>Heating degree Days</v>
      </c>
      <c r="E56" s="499"/>
      <c r="F56" s="214" t="str">
        <f>IF(K56=0,"",'!'!HJ6)</f>
        <v>x2</v>
      </c>
      <c r="G56" s="235">
        <f>IFERROR(VLOOKUP($D56,Baseline!$N$24:$W$31,'!'!GW$12,FALSE),0)</f>
        <v>5.7655584581291377</v>
      </c>
      <c r="H56" s="236">
        <f>IF(D56="-","",VLOOKUP($D56,Baseline!$N$24:$W$31,8,FALSE)-G56)</f>
        <v>0.93221664853534048</v>
      </c>
      <c r="I56" s="237">
        <f>IF(F56="","",IF(IFERROR(VLOOKUP($D56,Baseline!$N$24:$W$31,'!'!GZ$12,FALSE),"")=0,"0,00%",IFERROR(VLOOKUP($D56,Baseline!$N$24:$W$31,'!'!GZ$12,FALSE),"")))</f>
        <v>5.693897681261798E-7</v>
      </c>
      <c r="J56" s="238">
        <f>IFERROR(VLOOKUP($D56,Baseline!$N$24:$W$31,'!'!GX$12,FALSE),0)</f>
        <v>0.40425627790680646</v>
      </c>
      <c r="K56" s="239">
        <f>IFERROR(VLOOKUP($D56,Baseline!$N$24:$W$31,'!'!GY$12,FALSE),0)</f>
        <v>14.262137097740451</v>
      </c>
      <c r="L56" s="4"/>
      <c r="M56" s="4"/>
      <c r="O56"/>
      <c r="P56"/>
      <c r="Q56"/>
      <c r="R56"/>
      <c r="S56"/>
      <c r="T56"/>
      <c r="U56"/>
      <c r="V56"/>
      <c r="W56"/>
      <c r="X56" s="4"/>
      <c r="Y56" s="4"/>
    </row>
    <row r="57" spans="2:25" x14ac:dyDescent="0.35">
      <c r="B57" s="4">
        <f>SUM($C$55:C57)</f>
        <v>3</v>
      </c>
      <c r="C57" s="4">
        <f>IF(D57="-",0,1)</f>
        <v>1</v>
      </c>
      <c r="D57" s="498" t="str">
        <f>IF('!'!HB$16="","-",'!'!HB$19)</f>
        <v>Days since last external Maintenance</v>
      </c>
      <c r="E57" s="499"/>
      <c r="F57" s="214" t="str">
        <f>IF(K57=0,"",'!'!HJ8)</f>
        <v>x3</v>
      </c>
      <c r="G57" s="235">
        <f>IFERROR(VLOOKUP($D57,Baseline!$N$24:$W$31,'!'!GW$12,FALSE),0)</f>
        <v>19.240871750773113</v>
      </c>
      <c r="H57" s="236">
        <f>IF(D57="-","",VLOOKUP($D57,Baseline!$N$24:$W$31,8,FALSE)-G57)</f>
        <v>5.8893344909516827</v>
      </c>
      <c r="I57" s="237">
        <f>IF(F57="","",IF(IFERROR(VLOOKUP($D57,Baseline!$N$24:$W$31,'!'!GZ$12,FALSE),"")=0,"0,00%",IFERROR(VLOOKUP($D57,Baseline!$N$24:$W$31,'!'!GZ$12,FALSE),"")))</f>
        <v>6.70941949016257E-5</v>
      </c>
      <c r="J57" s="238">
        <f>IFERROR(VLOOKUP($D57,Baseline!$N$24:$W$31,'!'!GX$12,FALSE),0)</f>
        <v>2.5539132393751136</v>
      </c>
      <c r="K57" s="240">
        <f>IFERROR(VLOOKUP($D57,Baseline!$N$24:$W$31,'!'!GY$12,FALSE),0)</f>
        <v>7.5338783847962398</v>
      </c>
    </row>
    <row r="58" spans="2:25" x14ac:dyDescent="0.35">
      <c r="B58" s="4">
        <f>SUM($C$55:C58)</f>
        <v>3</v>
      </c>
      <c r="C58" s="4">
        <f>IF(D58="-",0,1)</f>
        <v>0</v>
      </c>
      <c r="D58" s="500" t="str">
        <f>IF('!'!HD$16="","-",'!'!HD$19)</f>
        <v>-</v>
      </c>
      <c r="E58" s="501"/>
      <c r="F58" s="214" t="str">
        <f>IF(K58=0,"",'!'!HJ10)</f>
        <v/>
      </c>
      <c r="G58" s="235">
        <f>IFERROR(VLOOKUP($D58,Baseline!$N$24:$W$31,'!'!GW$12,FALSE),0)</f>
        <v>0</v>
      </c>
      <c r="H58" s="236" t="str">
        <f>IF(D58="-","",VLOOKUP($D58,Baseline!$N$24:$W$31,8,FALSE)-G58)</f>
        <v/>
      </c>
      <c r="I58" s="237" t="str">
        <f>IF(F58="","",IF(IFERROR(VLOOKUP($D58,Baseline!$N$24:$W$31,'!'!GZ$12,FALSE),"")=0,"0,00%",IFERROR(VLOOKUP($D58,Baseline!$N$24:$W$31,'!'!GZ$12,FALSE),"")))</f>
        <v/>
      </c>
      <c r="J58" s="238">
        <f>IFERROR(VLOOKUP($D58,Baseline!$N$24:$W$31,'!'!GX$12,FALSE),0)</f>
        <v>0</v>
      </c>
      <c r="K58" s="240">
        <f>IFERROR(VLOOKUP($D58,Baseline!$N$24:$W$31,'!'!GY$12,FALSE),0)</f>
        <v>0</v>
      </c>
    </row>
    <row r="59" spans="2:25" ht="15" thickBot="1" x14ac:dyDescent="0.4">
      <c r="D59" s="502" t="str">
        <f>'Translation Table (internal)'!A67</f>
        <v>Constant Value</v>
      </c>
      <c r="E59" s="503"/>
      <c r="F59" s="216" t="s">
        <v>143</v>
      </c>
      <c r="G59" s="140">
        <f>Baseline!P23</f>
        <v>626.18362874044828</v>
      </c>
      <c r="H59" s="213">
        <f>Baseline!U23-G59</f>
        <v>1172.8293038127672</v>
      </c>
      <c r="I59" s="210">
        <f>IF(Baseline!S23=0,"0",Baseline!S23)</f>
        <v>0.25321453523987802</v>
      </c>
      <c r="J59" s="157">
        <f>Baseline!Q23</f>
        <v>508.59809221848082</v>
      </c>
      <c r="K59" s="158">
        <f>Baseline!R23</f>
        <v>1.231195394400842</v>
      </c>
    </row>
  </sheetData>
  <sortState xmlns:xlrd2="http://schemas.microsoft.com/office/spreadsheetml/2017/richdata2" ref="T32:T5118">
    <sortCondition ref="T32"/>
  </sortState>
  <mergeCells count="12">
    <mergeCell ref="D10:K11"/>
    <mergeCell ref="D54:E54"/>
    <mergeCell ref="D53:E53"/>
    <mergeCell ref="D15:G16"/>
    <mergeCell ref="D20:D35"/>
    <mergeCell ref="J53:J54"/>
    <mergeCell ref="K53:K54"/>
    <mergeCell ref="D55:E55"/>
    <mergeCell ref="D56:E56"/>
    <mergeCell ref="D57:E57"/>
    <mergeCell ref="D58:E58"/>
    <mergeCell ref="D59:E59"/>
  </mergeCells>
  <conditionalFormatting sqref="D55:E55">
    <cfRule type="expression" dxfId="1" priority="2">
      <formula>F55=""</formula>
    </cfRule>
  </conditionalFormatting>
  <conditionalFormatting sqref="D56:E58">
    <cfRule type="expression" dxfId="0" priority="1">
      <formula>F56=""</formula>
    </cfRule>
  </conditionalFormatting>
  <pageMargins left="0.7" right="0.7" top="0.78740157499999996" bottom="0.78740157499999996" header="0.3" footer="0.3"/>
  <pageSetup paperSize="9" orientation="portrait" r:id="rId1"/>
  <ignoredErrors>
    <ignoredError sqref="F9:G9"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rgb="FF00B050"/>
  </sheetPr>
  <dimension ref="A1:K390"/>
  <sheetViews>
    <sheetView showGridLines="0" topLeftCell="A12" zoomScaleNormal="100" workbookViewId="0">
      <pane xSplit="8" ySplit="13" topLeftCell="L25" activePane="bottomRight" state="frozen"/>
      <selection activeCell="A12" sqref="A12"/>
      <selection pane="topRight" activeCell="G12" sqref="G12"/>
      <selection pane="bottomLeft" activeCell="A25" sqref="A25"/>
      <selection pane="bottomRight" activeCell="O37" sqref="O37"/>
    </sheetView>
  </sheetViews>
  <sheetFormatPr baseColWidth="10" defaultColWidth="11.453125" defaultRowHeight="13" x14ac:dyDescent="0.3"/>
  <cols>
    <col min="1" max="1" width="6.453125" style="368" hidden="1" customWidth="1"/>
    <col min="2" max="2" width="8.453125" style="366" hidden="1" customWidth="1"/>
    <col min="3" max="3" width="21.54296875" style="368" customWidth="1"/>
    <col min="4" max="4" width="16.1796875" style="368" customWidth="1"/>
    <col min="5" max="5" width="16.26953125" style="368" customWidth="1"/>
    <col min="6" max="6" width="16.7265625" style="368" customWidth="1"/>
    <col min="7" max="7" width="19.1796875" style="368" customWidth="1"/>
    <col min="8" max="8" width="17.453125" style="368" customWidth="1"/>
    <col min="9" max="9" width="2.81640625" style="368" hidden="1" customWidth="1"/>
    <col min="10" max="10" width="10.81640625" style="368" hidden="1" customWidth="1"/>
    <col min="11" max="11" width="7.81640625" style="368" hidden="1" customWidth="1"/>
    <col min="12" max="12" width="10.453125" style="368" customWidth="1"/>
    <col min="13" max="13" width="0.54296875" style="368" customWidth="1"/>
    <col min="14" max="16384" width="11.453125" style="368"/>
  </cols>
  <sheetData>
    <row r="1" spans="3:9" hidden="1" x14ac:dyDescent="0.3">
      <c r="C1" s="367"/>
      <c r="D1" s="367"/>
      <c r="E1" s="367"/>
      <c r="F1" s="367"/>
      <c r="G1" s="367"/>
      <c r="H1" s="367"/>
    </row>
    <row r="2" spans="3:9" hidden="1" x14ac:dyDescent="0.3">
      <c r="C2" s="367"/>
      <c r="D2" s="367"/>
      <c r="E2" s="367"/>
      <c r="F2" s="367"/>
      <c r="G2" s="367"/>
      <c r="H2" s="367"/>
    </row>
    <row r="3" spans="3:9" hidden="1" x14ac:dyDescent="0.3">
      <c r="C3" s="367"/>
      <c r="D3" s="367"/>
      <c r="E3" s="367"/>
      <c r="F3" s="367"/>
      <c r="G3" s="367"/>
      <c r="H3" s="367"/>
    </row>
    <row r="4" spans="3:9" hidden="1" x14ac:dyDescent="0.3">
      <c r="C4" s="367"/>
      <c r="D4" s="367"/>
      <c r="E4" s="367"/>
      <c r="F4" s="367"/>
      <c r="G4" s="367"/>
      <c r="H4" s="367"/>
    </row>
    <row r="5" spans="3:9" hidden="1" x14ac:dyDescent="0.3">
      <c r="C5" s="367"/>
      <c r="D5" s="367"/>
      <c r="E5" s="367"/>
      <c r="F5" s="367"/>
      <c r="G5" s="367"/>
      <c r="H5" s="367"/>
    </row>
    <row r="6" spans="3:9" hidden="1" x14ac:dyDescent="0.3">
      <c r="C6" s="367"/>
      <c r="D6" s="367"/>
      <c r="E6" s="367"/>
      <c r="F6" s="367"/>
      <c r="G6" s="367"/>
      <c r="H6" s="367"/>
    </row>
    <row r="7" spans="3:9" hidden="1" x14ac:dyDescent="0.3">
      <c r="C7" s="367"/>
      <c r="D7" s="367"/>
      <c r="E7" s="367"/>
      <c r="F7" s="367"/>
      <c r="G7" s="367"/>
      <c r="H7" s="367"/>
    </row>
    <row r="8" spans="3:9" hidden="1" x14ac:dyDescent="0.3">
      <c r="C8" s="367"/>
      <c r="D8" s="367"/>
      <c r="E8" s="367"/>
      <c r="F8" s="367"/>
      <c r="G8" s="367"/>
      <c r="H8" s="367"/>
    </row>
    <row r="9" spans="3:9" hidden="1" x14ac:dyDescent="0.3">
      <c r="C9" s="367"/>
      <c r="D9" s="367"/>
      <c r="E9" s="367"/>
      <c r="F9" s="367"/>
      <c r="G9" s="367"/>
      <c r="H9" s="367"/>
    </row>
    <row r="10" spans="3:9" hidden="1" x14ac:dyDescent="0.3">
      <c r="C10" s="367"/>
      <c r="D10" s="367"/>
      <c r="E10" s="367"/>
      <c r="F10" s="367"/>
      <c r="G10" s="367"/>
      <c r="H10" s="367"/>
    </row>
    <row r="11" spans="3:9" hidden="1" x14ac:dyDescent="0.3">
      <c r="C11" s="367"/>
      <c r="D11" s="367"/>
      <c r="E11" s="367"/>
      <c r="F11" s="367"/>
      <c r="G11" s="367"/>
      <c r="H11" s="367"/>
    </row>
    <row r="12" spans="3:9" ht="34.5" customHeight="1" x14ac:dyDescent="0.3">
      <c r="C12" s="2"/>
      <c r="D12" s="366"/>
      <c r="E12" s="302" t="str">
        <f>'Translation Table (internal)'!A69</f>
        <v>Enter Data for Monitoring</v>
      </c>
      <c r="G12" s="367"/>
      <c r="H12" s="367"/>
    </row>
    <row r="13" spans="3:9" ht="27.75" customHeight="1" x14ac:dyDescent="0.35">
      <c r="C13" s="16"/>
      <c r="D13" s="369"/>
      <c r="E13" s="522" t="str">
        <f>'Translation Table (internal)'!A12</f>
        <v>Don´t move or cut and paste cells. This would destroy the tool. Instead: Copy, paste and delete</v>
      </c>
      <c r="F13" s="523"/>
      <c r="G13" s="523"/>
      <c r="H13" s="523"/>
    </row>
    <row r="14" spans="3:9" ht="16.5" customHeight="1" thickBot="1" x14ac:dyDescent="0.4">
      <c r="C14" s="536"/>
      <c r="D14" s="537"/>
      <c r="E14" s="537"/>
      <c r="F14" s="538"/>
      <c r="G14" s="538"/>
      <c r="H14" s="538"/>
      <c r="I14" s="370"/>
    </row>
    <row r="15" spans="3:9" ht="13.5" customHeight="1" x14ac:dyDescent="0.3">
      <c r="C15" s="539" t="str">
        <f>Reference!C15:C21</f>
        <v>Periods (must be entered as dates)</v>
      </c>
      <c r="D15" s="371" t="str">
        <f>Reference!D15</f>
        <v>Effort</v>
      </c>
      <c r="E15" s="372" t="str">
        <f>Reference!E15</f>
        <v>Benefit</v>
      </c>
      <c r="F15" s="373"/>
      <c r="G15" s="374" t="str">
        <f>Reference!F15</f>
        <v>Further external Influences</v>
      </c>
      <c r="H15" s="375"/>
      <c r="I15" s="370"/>
    </row>
    <row r="16" spans="3:9" ht="12" customHeight="1" x14ac:dyDescent="0.3">
      <c r="C16" s="540"/>
      <c r="D16" s="533" t="str">
        <f>Reference!D16:D17</f>
        <v>(Energy Input)</v>
      </c>
      <c r="E16" s="530" t="str">
        <f>Reference!E16:E17</f>
        <v>(useable production)</v>
      </c>
      <c r="F16" s="524"/>
      <c r="G16" s="525"/>
      <c r="H16" s="526"/>
      <c r="I16" s="370"/>
    </row>
    <row r="17" spans="1:11" ht="12.75" customHeight="1" x14ac:dyDescent="0.3">
      <c r="C17" s="540"/>
      <c r="D17" s="534"/>
      <c r="E17" s="531"/>
      <c r="F17" s="524"/>
      <c r="G17" s="525"/>
      <c r="H17" s="526"/>
      <c r="I17" s="370"/>
    </row>
    <row r="18" spans="1:11" ht="12" customHeight="1" x14ac:dyDescent="0.3">
      <c r="C18" s="541"/>
      <c r="D18" s="534"/>
      <c r="E18" s="531"/>
      <c r="F18" s="524"/>
      <c r="G18" s="525"/>
      <c r="H18" s="526"/>
      <c r="I18" s="370"/>
    </row>
    <row r="19" spans="1:11" ht="12.75" customHeight="1" thickBot="1" x14ac:dyDescent="0.35">
      <c r="C19" s="541"/>
      <c r="D19" s="535"/>
      <c r="E19" s="532"/>
      <c r="F19" s="527"/>
      <c r="G19" s="528"/>
      <c r="H19" s="529"/>
      <c r="I19" s="370"/>
    </row>
    <row r="20" spans="1:11" ht="12.75" customHeight="1" x14ac:dyDescent="0.3">
      <c r="C20" s="541"/>
      <c r="D20" s="376" t="s">
        <v>3</v>
      </c>
      <c r="E20" s="377" t="str">
        <f>Reference!E20</f>
        <v>Name</v>
      </c>
      <c r="F20" s="378" t="str">
        <f>Reference!F20</f>
        <v>Name</v>
      </c>
      <c r="G20" s="378" t="str">
        <f>Reference!G20</f>
        <v>Name</v>
      </c>
      <c r="H20" s="379" t="str">
        <f>Reference!H20</f>
        <v>Name</v>
      </c>
      <c r="I20" s="370"/>
    </row>
    <row r="21" spans="1:11" ht="26.25" customHeight="1" thickBot="1" x14ac:dyDescent="0.35">
      <c r="C21" s="542"/>
      <c r="D21" s="380" t="str">
        <f>Reference!D21</f>
        <v>Gas Consumtion</v>
      </c>
      <c r="E21" s="381" t="str">
        <f>Reference!E21</f>
        <v>Production</v>
      </c>
      <c r="F21" s="381" t="str">
        <f>Reference!F21</f>
        <v>Heating degree Days</v>
      </c>
      <c r="G21" s="381" t="str">
        <f>Reference!G21</f>
        <v>Days since last external Maintenance</v>
      </c>
      <c r="H21" s="381">
        <f>Reference!H21</f>
        <v>0</v>
      </c>
      <c r="I21" s="370"/>
    </row>
    <row r="22" spans="1:11" ht="12.75" customHeight="1" x14ac:dyDescent="0.3">
      <c r="C22" s="382" t="str">
        <f>Reference!C16</f>
        <v>Timeframe from Measurement</v>
      </c>
      <c r="D22" s="383" t="s">
        <v>8</v>
      </c>
      <c r="E22" s="377" t="str">
        <f>Reference!E22</f>
        <v>Unit</v>
      </c>
      <c r="F22" s="377" t="str">
        <f>Reference!F22</f>
        <v>Unit</v>
      </c>
      <c r="G22" s="377" t="str">
        <f>Reference!G22</f>
        <v>Unit</v>
      </c>
      <c r="H22" s="384" t="str">
        <f>Reference!H22</f>
        <v>Unit</v>
      </c>
      <c r="I22" s="370"/>
    </row>
    <row r="23" spans="1:11" ht="13.5" customHeight="1" thickBot="1" x14ac:dyDescent="0.35">
      <c r="C23" s="414" t="str">
        <f>Reference!C17</f>
        <v>Month</v>
      </c>
      <c r="D23" s="386" t="str">
        <f>Reference!D23</f>
        <v>MWh</v>
      </c>
      <c r="E23" s="385" t="str">
        <f>Reference!E23</f>
        <v>Tons</v>
      </c>
      <c r="F23" s="385" t="str">
        <f>Reference!F23</f>
        <v>Kd</v>
      </c>
      <c r="G23" s="385" t="str">
        <f>Reference!G23</f>
        <v>Days</v>
      </c>
      <c r="H23" s="385">
        <f>Reference!H23</f>
        <v>0</v>
      </c>
      <c r="I23" s="370"/>
    </row>
    <row r="24" spans="1:11" ht="3" customHeight="1" x14ac:dyDescent="0.3">
      <c r="C24" s="387"/>
      <c r="D24" s="387"/>
      <c r="E24" s="388"/>
      <c r="F24" s="389"/>
      <c r="G24" s="388"/>
      <c r="H24" s="390"/>
      <c r="I24" s="370"/>
    </row>
    <row r="25" spans="1:11" ht="14.5" x14ac:dyDescent="0.35">
      <c r="A25" s="29" t="str">
        <f>IF(OR(C25&gt;Report!$H$4,C25&lt;Report!$G$4),"",IF(OR(J25*K25=1,K25-J25=1),'!'!$GJ$14,""))</f>
        <v>B</v>
      </c>
      <c r="B25" s="366">
        <f>IF(A25="",0,COUNTIF($A$25:$A25,'!'!$GJ$14))</f>
        <v>1</v>
      </c>
      <c r="C25" s="424">
        <v>43101</v>
      </c>
      <c r="D25" s="425">
        <v>8643</v>
      </c>
      <c r="E25" s="425">
        <v>128</v>
      </c>
      <c r="F25" s="425">
        <v>577.3608695652174</v>
      </c>
      <c r="G25" s="425">
        <v>15</v>
      </c>
      <c r="H25" s="428"/>
      <c r="I25" s="370"/>
      <c r="J25" s="391">
        <f>IF(OR(Report!$G$4=C25,Report!$H$4=C25),1,0)</f>
        <v>1</v>
      </c>
      <c r="K25" s="366">
        <f>SUM($J$25:J25)</f>
        <v>1</v>
      </c>
    </row>
    <row r="26" spans="1:11" ht="14.5" x14ac:dyDescent="0.35">
      <c r="A26" s="29" t="str">
        <f>IF(OR(C26&gt;Report!$H$4,C26&lt;Report!$G$4),"",IF(OR(J26*K26=1,K26-J26=1),'!'!$GJ$14,""))</f>
        <v>B</v>
      </c>
      <c r="B26" s="366">
        <f>IF(A26="",0,COUNTIF($A$25:$A26,'!'!$GJ$14))</f>
        <v>2</v>
      </c>
      <c r="C26" s="424">
        <v>43132</v>
      </c>
      <c r="D26" s="425">
        <v>11020</v>
      </c>
      <c r="E26" s="425">
        <v>185</v>
      </c>
      <c r="F26" s="425">
        <v>514.31304347826085</v>
      </c>
      <c r="G26" s="425">
        <v>45</v>
      </c>
      <c r="H26" s="428"/>
      <c r="I26" s="370"/>
      <c r="J26" s="391">
        <f>IF(OR(Report!$G$4=C26,Report!$H$4=C26),1,0)</f>
        <v>0</v>
      </c>
      <c r="K26" s="366">
        <f>SUM($J$25:J26)</f>
        <v>1</v>
      </c>
    </row>
    <row r="27" spans="1:11" ht="14.5" x14ac:dyDescent="0.35">
      <c r="A27" s="29" t="str">
        <f>IF(OR(C27&gt;Report!$H$4,C27&lt;Report!$G$4),"",IF(OR(J27*K27=1,K27-J27=1),'!'!$GJ$14,""))</f>
        <v>B</v>
      </c>
      <c r="B27" s="366">
        <f>IF(A27="",0,COUNTIF($A$25:$A27,'!'!$GJ$14))</f>
        <v>3</v>
      </c>
      <c r="C27" s="424">
        <v>43160</v>
      </c>
      <c r="D27" s="425">
        <v>10308</v>
      </c>
      <c r="E27" s="425">
        <v>154</v>
      </c>
      <c r="F27" s="425">
        <v>482.14565217391299</v>
      </c>
      <c r="G27" s="425">
        <v>75</v>
      </c>
      <c r="H27" s="428"/>
      <c r="I27" s="370"/>
      <c r="J27" s="391">
        <f>IF(OR(Report!$G$4=C27,Report!$H$4=C27),1,0)</f>
        <v>0</v>
      </c>
      <c r="K27" s="366">
        <f>SUM($J$25:J27)</f>
        <v>1</v>
      </c>
    </row>
    <row r="28" spans="1:11" ht="14.5" x14ac:dyDescent="0.35">
      <c r="A28" s="29" t="str">
        <f>IF(OR(C28&gt;Report!$H$4,C28&lt;Report!$G$4),"",IF(OR(J28*K28=1,K28-J28=1),'!'!$GJ$14,""))</f>
        <v>B</v>
      </c>
      <c r="B28" s="366">
        <f>IF(A28="",0,COUNTIF($A$25:$A28,'!'!$GJ$14))</f>
        <v>4</v>
      </c>
      <c r="C28" s="424">
        <v>43191</v>
      </c>
      <c r="D28" s="425">
        <v>8006</v>
      </c>
      <c r="E28" s="425">
        <v>147</v>
      </c>
      <c r="F28" s="425">
        <v>350.76521739130436</v>
      </c>
      <c r="G28" s="425">
        <v>15</v>
      </c>
      <c r="H28" s="428"/>
      <c r="I28" s="370"/>
      <c r="J28" s="391">
        <f>IF(OR(Report!$G$4=C28,Report!$H$4=C28),1,0)</f>
        <v>0</v>
      </c>
      <c r="K28" s="366">
        <f>SUM($J$25:J28)</f>
        <v>1</v>
      </c>
    </row>
    <row r="29" spans="1:11" ht="14.5" x14ac:dyDescent="0.35">
      <c r="A29" s="29" t="str">
        <f>IF(OR(C29&gt;Report!$H$4,C29&lt;Report!$G$4),"",IF(OR(J29*K29=1,K29-J29=1),'!'!$GJ$14,""))</f>
        <v>B</v>
      </c>
      <c r="B29" s="366">
        <f>IF(A29="",0,COUNTIF($A$25:$A29,'!'!$GJ$14))</f>
        <v>5</v>
      </c>
      <c r="C29" s="424">
        <v>43221</v>
      </c>
      <c r="D29" s="425">
        <v>7964</v>
      </c>
      <c r="E29" s="425">
        <v>152</v>
      </c>
      <c r="F29" s="425">
        <v>205.32173913043476</v>
      </c>
      <c r="G29" s="425">
        <v>45</v>
      </c>
      <c r="H29" s="428"/>
      <c r="I29" s="370"/>
      <c r="J29" s="391">
        <f>IF(OR(Report!$G$4=C29,Report!$H$4=C29),1,0)</f>
        <v>0</v>
      </c>
      <c r="K29" s="366">
        <f>SUM($J$25:J29)</f>
        <v>1</v>
      </c>
    </row>
    <row r="30" spans="1:11" ht="14.5" x14ac:dyDescent="0.35">
      <c r="A30" s="29" t="str">
        <f>IF(OR(C30&gt;Report!$H$4,C30&lt;Report!$G$4),"",IF(OR(J30*K30=1,K30-J30=1),'!'!$GJ$14,""))</f>
        <v>B</v>
      </c>
      <c r="B30" s="366">
        <f>IF(A30="",0,COUNTIF($A$25:$A30,'!'!$GJ$14))</f>
        <v>6</v>
      </c>
      <c r="C30" s="424">
        <v>43252</v>
      </c>
      <c r="D30" s="425">
        <v>8786</v>
      </c>
      <c r="E30" s="425">
        <v>182</v>
      </c>
      <c r="F30" s="425">
        <v>103.46956521739131</v>
      </c>
      <c r="G30" s="425">
        <v>75</v>
      </c>
      <c r="H30" s="428"/>
      <c r="I30" s="370"/>
      <c r="J30" s="391">
        <f>IF(OR(Report!$G$4=C30,Report!$H$4=C30),1,0)</f>
        <v>0</v>
      </c>
      <c r="K30" s="366">
        <f>SUM($J$25:J30)</f>
        <v>1</v>
      </c>
    </row>
    <row r="31" spans="1:11" ht="14.5" x14ac:dyDescent="0.35">
      <c r="A31" s="29" t="str">
        <f>IF(OR(C31&gt;Report!$H$4,C31&lt;Report!$G$4),"",IF(OR(J31*K31=1,K31-J31=1),'!'!$GJ$14,""))</f>
        <v>B</v>
      </c>
      <c r="B31" s="366">
        <f>IF(A31="",0,COUNTIF($A$25:$A31,'!'!$GJ$14))</f>
        <v>7</v>
      </c>
      <c r="C31" s="424">
        <v>43282</v>
      </c>
      <c r="D31" s="425">
        <v>6300</v>
      </c>
      <c r="E31" s="425">
        <v>151</v>
      </c>
      <c r="F31" s="425">
        <v>43.080434782608691</v>
      </c>
      <c r="G31" s="425">
        <v>15</v>
      </c>
      <c r="H31" s="394"/>
      <c r="I31" s="370"/>
      <c r="J31" s="391">
        <f>IF(OR(Report!$G$4=C31,Report!$H$4=C31),1,0)</f>
        <v>0</v>
      </c>
      <c r="K31" s="366">
        <f>SUM($J$25:J31)</f>
        <v>1</v>
      </c>
    </row>
    <row r="32" spans="1:11" ht="14.5" x14ac:dyDescent="0.35">
      <c r="A32" s="29" t="str">
        <f>IF(OR(C32&gt;Report!$H$4,C32&lt;Report!$G$4),"",IF(OR(J32*K32=1,K32-J32=1),'!'!$GJ$14,""))</f>
        <v>B</v>
      </c>
      <c r="B32" s="366">
        <f>IF(A32="",0,COUNTIF($A$25:$A32,'!'!$GJ$14))</f>
        <v>8</v>
      </c>
      <c r="C32" s="424">
        <v>43313</v>
      </c>
      <c r="D32" s="425">
        <v>6743</v>
      </c>
      <c r="E32" s="425">
        <v>147</v>
      </c>
      <c r="F32" s="425">
        <v>42.978260869565219</v>
      </c>
      <c r="G32" s="425">
        <v>45</v>
      </c>
      <c r="H32" s="394"/>
      <c r="I32" s="370"/>
      <c r="J32" s="391">
        <f>IF(OR(Report!$G$4=C32,Report!$H$4=C32),1,0)</f>
        <v>0</v>
      </c>
      <c r="K32" s="366">
        <f>SUM($J$25:J32)</f>
        <v>1</v>
      </c>
    </row>
    <row r="33" spans="1:11" ht="14.5" x14ac:dyDescent="0.35">
      <c r="A33" s="29" t="str">
        <f>IF(OR(C33&gt;Report!$H$4,C33&lt;Report!$G$4),"",IF(OR(J33*K33=1,K33-J33=1),'!'!$GJ$14,""))</f>
        <v>B</v>
      </c>
      <c r="B33" s="366">
        <f>IF(A33="",0,COUNTIF($A$25:$A33,'!'!$GJ$14))</f>
        <v>9</v>
      </c>
      <c r="C33" s="424">
        <v>43344</v>
      </c>
      <c r="D33" s="425">
        <v>9660</v>
      </c>
      <c r="E33" s="425">
        <v>199</v>
      </c>
      <c r="F33" s="425">
        <v>155.98478260869564</v>
      </c>
      <c r="G33" s="425">
        <v>75</v>
      </c>
      <c r="H33" s="394"/>
      <c r="I33" s="370"/>
      <c r="J33" s="391">
        <f>IF(OR(Report!$G$4=C33,Report!$H$4=C33),1,0)</f>
        <v>0</v>
      </c>
      <c r="K33" s="366">
        <f>SUM($J$25:J33)</f>
        <v>1</v>
      </c>
    </row>
    <row r="34" spans="1:11" ht="14.5" x14ac:dyDescent="0.35">
      <c r="A34" s="29" t="str">
        <f>IF(OR(C34&gt;Report!$H$4,C34&lt;Report!$G$4),"",IF(OR(J34*K34=1,K34-J34=1),'!'!$GJ$14,""))</f>
        <v>B</v>
      </c>
      <c r="B34" s="366">
        <f>IF(A34="",0,COUNTIF($A$25:$A34,'!'!$GJ$14))</f>
        <v>10</v>
      </c>
      <c r="C34" s="424">
        <v>43374</v>
      </c>
      <c r="D34" s="425">
        <v>7664</v>
      </c>
      <c r="E34" s="425">
        <v>154</v>
      </c>
      <c r="F34" s="425">
        <v>313.0152173913043</v>
      </c>
      <c r="G34" s="425">
        <v>15</v>
      </c>
      <c r="H34" s="394"/>
      <c r="I34" s="370"/>
      <c r="J34" s="391">
        <f>IF(OR(Report!$G$4=C34,Report!$H$4=C34),1,0)</f>
        <v>0</v>
      </c>
      <c r="K34" s="366">
        <f>SUM($J$25:J34)</f>
        <v>1</v>
      </c>
    </row>
    <row r="35" spans="1:11" ht="14.5" x14ac:dyDescent="0.35">
      <c r="A35" s="29" t="str">
        <f>IF(OR(C35&gt;Report!$H$4,C35&lt;Report!$G$4),"",IF(OR(J35*K35=1,K35-J35=1),'!'!$GJ$14,""))</f>
        <v>B</v>
      </c>
      <c r="B35" s="366">
        <f>IF(A35="",0,COUNTIF($A$25:$A35,'!'!$GJ$14))</f>
        <v>11</v>
      </c>
      <c r="C35" s="424">
        <v>43405</v>
      </c>
      <c r="D35" s="425">
        <v>9217</v>
      </c>
      <c r="E35" s="425">
        <v>190</v>
      </c>
      <c r="F35" s="425">
        <v>435.38478260869567</v>
      </c>
      <c r="G35" s="425">
        <v>45</v>
      </c>
      <c r="H35" s="394"/>
      <c r="I35" s="370"/>
      <c r="J35" s="391">
        <f>IF(OR(Report!$G$4=C35,Report!$H$4=C35),1,0)</f>
        <v>0</v>
      </c>
      <c r="K35" s="366">
        <f>SUM($J$25:J35)</f>
        <v>1</v>
      </c>
    </row>
    <row r="36" spans="1:11" ht="14.5" x14ac:dyDescent="0.35">
      <c r="A36" s="29" t="str">
        <f>IF(OR(C36&gt;Report!$H$4,C36&lt;Report!$G$4),"",IF(OR(J36*K36=1,K36-J36=1),'!'!$GJ$14,""))</f>
        <v>B</v>
      </c>
      <c r="B36" s="366">
        <f>IF(A36="",0,COUNTIF($A$25:$A36,'!'!$GJ$14))</f>
        <v>12</v>
      </c>
      <c r="C36" s="424">
        <v>43435</v>
      </c>
      <c r="D36" s="425">
        <v>10168</v>
      </c>
      <c r="E36" s="425">
        <v>185</v>
      </c>
      <c r="F36" s="425">
        <v>538.35652173913047</v>
      </c>
      <c r="G36" s="425">
        <v>75</v>
      </c>
      <c r="H36" s="394"/>
      <c r="I36" s="370"/>
      <c r="J36" s="391">
        <f>IF(OR(Report!$G$4=C36,Report!$H$4=C36),1,0)</f>
        <v>1</v>
      </c>
      <c r="K36" s="366">
        <f>SUM($J$25:J36)</f>
        <v>2</v>
      </c>
    </row>
    <row r="37" spans="1:11" ht="14.5" x14ac:dyDescent="0.35">
      <c r="A37" s="29" t="str">
        <f>IF(OR(C37&gt;Report!$H$4,C37&lt;Report!$G$4),"",IF(OR(J37*K37=1,K37-J37=1),'!'!$GJ$14,""))</f>
        <v/>
      </c>
      <c r="B37" s="366">
        <f>IF(A37="",0,COUNTIF($A$25:$A37,'!'!$GJ$14))</f>
        <v>0</v>
      </c>
      <c r="C37" s="392"/>
      <c r="D37" s="393"/>
      <c r="E37" s="394"/>
      <c r="F37" s="394"/>
      <c r="G37" s="394"/>
      <c r="H37" s="394"/>
      <c r="I37" s="370"/>
      <c r="J37" s="391">
        <f>IF(OR(Report!$G$4=C37,Report!$H$4=C37),1,0)</f>
        <v>0</v>
      </c>
      <c r="K37" s="366">
        <f>SUM($J$25:J37)</f>
        <v>2</v>
      </c>
    </row>
    <row r="38" spans="1:11" ht="14.5" x14ac:dyDescent="0.35">
      <c r="A38" s="29" t="str">
        <f>IF(OR(C38&gt;Report!$H$4,C38&lt;Report!$G$4),"",IF(OR(J38*K38=1,K38-J38=1),'!'!$GJ$14,""))</f>
        <v/>
      </c>
      <c r="B38" s="366">
        <f>IF(A38="",0,COUNTIF($A$25:$A38,'!'!$GJ$14))</f>
        <v>0</v>
      </c>
      <c r="C38" s="392"/>
      <c r="D38" s="393"/>
      <c r="E38" s="394"/>
      <c r="F38" s="394"/>
      <c r="G38" s="394"/>
      <c r="H38" s="394"/>
      <c r="I38" s="370"/>
      <c r="J38" s="391">
        <f>IF(OR(Report!$G$4=C38,Report!$H$4=C38),1,0)</f>
        <v>0</v>
      </c>
      <c r="K38" s="366">
        <f>SUM($J$25:J38)</f>
        <v>2</v>
      </c>
    </row>
    <row r="39" spans="1:11" ht="14.5" x14ac:dyDescent="0.35">
      <c r="A39" s="29" t="str">
        <f>IF(OR(C39&gt;Report!$H$4,C39&lt;Report!$G$4),"",IF(OR(J39*K39=1,K39-J39=1),'!'!$GJ$14,""))</f>
        <v/>
      </c>
      <c r="B39" s="366">
        <f>IF(A39="",0,COUNTIF($A$25:$A39,'!'!$GJ$14))</f>
        <v>0</v>
      </c>
      <c r="C39" s="392"/>
      <c r="D39" s="393"/>
      <c r="E39" s="394"/>
      <c r="F39" s="394"/>
      <c r="G39" s="394"/>
      <c r="H39" s="394"/>
      <c r="I39" s="370"/>
      <c r="J39" s="391">
        <f>IF(OR(Report!$G$4=C39,Report!$H$4=C39),1,0)</f>
        <v>0</v>
      </c>
      <c r="K39" s="366">
        <f>SUM($J$25:J39)</f>
        <v>2</v>
      </c>
    </row>
    <row r="40" spans="1:11" ht="14.5" x14ac:dyDescent="0.35">
      <c r="A40" s="29" t="str">
        <f>IF(OR(C40&gt;Report!$H$4,C40&lt;Report!$G$4),"",IF(OR(J40*K40=1,K40-J40=1),'!'!$GJ$14,""))</f>
        <v/>
      </c>
      <c r="B40" s="366">
        <f>IF(A40="",0,COUNTIF($A$25:$A40,'!'!$GJ$14))</f>
        <v>0</v>
      </c>
      <c r="C40" s="392"/>
      <c r="D40" s="393"/>
      <c r="E40" s="394"/>
      <c r="F40" s="394"/>
      <c r="G40" s="394"/>
      <c r="H40" s="394"/>
      <c r="I40" s="370"/>
      <c r="J40" s="391">
        <f>IF(OR(Report!$G$4=C40,Report!$H$4=C40),1,0)</f>
        <v>0</v>
      </c>
      <c r="K40" s="366">
        <f>SUM($J$25:J40)</f>
        <v>2</v>
      </c>
    </row>
    <row r="41" spans="1:11" ht="14.5" x14ac:dyDescent="0.35">
      <c r="A41" s="29" t="str">
        <f>IF(OR(C41&gt;Report!$H$4,C41&lt;Report!$G$4),"",IF(OR(J41*K41=1,K41-J41=1),'!'!$GJ$14,""))</f>
        <v/>
      </c>
      <c r="B41" s="366">
        <f>IF(A41="",0,COUNTIF($A$25:$A41,'!'!$GJ$14))</f>
        <v>0</v>
      </c>
      <c r="C41" s="392"/>
      <c r="D41" s="393"/>
      <c r="E41" s="394"/>
      <c r="F41" s="394"/>
      <c r="G41" s="394"/>
      <c r="H41" s="394"/>
      <c r="I41" s="370"/>
      <c r="J41" s="391">
        <f>IF(OR(Report!$G$4=C41,Report!$H$4=C41),1,0)</f>
        <v>0</v>
      </c>
      <c r="K41" s="366">
        <f>SUM($J$25:J41)</f>
        <v>2</v>
      </c>
    </row>
    <row r="42" spans="1:11" ht="14.5" x14ac:dyDescent="0.35">
      <c r="A42" s="29" t="str">
        <f>IF(OR(C42&gt;Report!$H$4,C42&lt;Report!$G$4),"",IF(OR(J42*K42=1,K42-J42=1),'!'!$GJ$14,""))</f>
        <v/>
      </c>
      <c r="B42" s="366">
        <f>IF(A42="",0,COUNTIF($A$25:$A42,'!'!$GJ$14))</f>
        <v>0</v>
      </c>
      <c r="C42" s="392"/>
      <c r="D42" s="393"/>
      <c r="E42" s="394"/>
      <c r="F42" s="394"/>
      <c r="G42" s="394"/>
      <c r="H42" s="394"/>
      <c r="I42" s="370"/>
      <c r="J42" s="391">
        <f>IF(OR(Report!$G$4=C42,Report!$H$4=C42),1,0)</f>
        <v>0</v>
      </c>
      <c r="K42" s="366">
        <f>SUM($J$25:J42)</f>
        <v>2</v>
      </c>
    </row>
    <row r="43" spans="1:11" ht="14.5" x14ac:dyDescent="0.35">
      <c r="A43" s="29" t="str">
        <f>IF(OR(C43&gt;Report!$H$4,C43&lt;Report!$G$4),"",IF(OR(J43*K43=1,K43-J43=1),'!'!$GJ$14,""))</f>
        <v/>
      </c>
      <c r="B43" s="366">
        <f>IF(A43="",0,COUNTIF($A$25:$A43,'!'!$GJ$14))</f>
        <v>0</v>
      </c>
      <c r="C43" s="392"/>
      <c r="D43" s="393"/>
      <c r="E43" s="394"/>
      <c r="F43" s="394"/>
      <c r="G43" s="394"/>
      <c r="H43" s="394"/>
      <c r="I43" s="370"/>
      <c r="J43" s="391">
        <f>IF(OR(Report!$G$4=C43,Report!$H$4=C43),1,0)</f>
        <v>0</v>
      </c>
      <c r="K43" s="366">
        <f>SUM($J$25:J43)</f>
        <v>2</v>
      </c>
    </row>
    <row r="44" spans="1:11" ht="14.5" x14ac:dyDescent="0.35">
      <c r="A44" s="29" t="str">
        <f>IF(OR(C44&gt;Report!$H$4,C44&lt;Report!$G$4),"",IF(OR(J44*K44=1,K44-J44=1),'!'!$GJ$14,""))</f>
        <v/>
      </c>
      <c r="B44" s="366">
        <f>IF(A44="",0,COUNTIF($A$25:$A44,'!'!$GJ$14))</f>
        <v>0</v>
      </c>
      <c r="C44" s="392"/>
      <c r="D44" s="393"/>
      <c r="E44" s="394"/>
      <c r="F44" s="394"/>
      <c r="G44" s="394"/>
      <c r="H44" s="394"/>
      <c r="I44" s="370"/>
      <c r="J44" s="391">
        <f>IF(OR(Report!$G$4=C44,Report!$H$4=C44),1,0)</f>
        <v>0</v>
      </c>
      <c r="K44" s="366">
        <f>SUM($J$25:J44)</f>
        <v>2</v>
      </c>
    </row>
    <row r="45" spans="1:11" ht="14.5" x14ac:dyDescent="0.35">
      <c r="A45" s="29" t="str">
        <f>IF(OR(C45&gt;Report!$H$4,C45&lt;Report!$G$4),"",IF(OR(J45*K45=1,K45-J45=1),'!'!$GJ$14,""))</f>
        <v/>
      </c>
      <c r="B45" s="366">
        <f>IF(A45="",0,COUNTIF($A$25:$A45,'!'!$GJ$14))</f>
        <v>0</v>
      </c>
      <c r="C45" s="392"/>
      <c r="D45" s="393"/>
      <c r="E45" s="394"/>
      <c r="F45" s="394"/>
      <c r="G45" s="394"/>
      <c r="H45" s="394"/>
      <c r="I45" s="370"/>
      <c r="J45" s="391">
        <f>IF(OR(Report!$G$4=C45,Report!$H$4=C45),1,0)</f>
        <v>0</v>
      </c>
      <c r="K45" s="366">
        <f>SUM($J$25:J45)</f>
        <v>2</v>
      </c>
    </row>
    <row r="46" spans="1:11" ht="14.5" x14ac:dyDescent="0.35">
      <c r="A46" s="29" t="str">
        <f>IF(OR(C46&gt;Report!$H$4,C46&lt;Report!$G$4),"",IF(OR(J46*K46=1,K46-J46=1),'!'!$GJ$14,""))</f>
        <v/>
      </c>
      <c r="B46" s="366">
        <f>IF(A46="",0,COUNTIF($A$25:$A46,'!'!$GJ$14))</f>
        <v>0</v>
      </c>
      <c r="C46" s="392"/>
      <c r="D46" s="393"/>
      <c r="E46" s="394"/>
      <c r="F46" s="394"/>
      <c r="G46" s="394"/>
      <c r="H46" s="394"/>
      <c r="I46" s="370"/>
      <c r="J46" s="391">
        <f>IF(OR(Report!$G$4=C46,Report!$H$4=C46),1,0)</f>
        <v>0</v>
      </c>
      <c r="K46" s="366">
        <f>SUM($J$25:J46)</f>
        <v>2</v>
      </c>
    </row>
    <row r="47" spans="1:11" ht="14.5" x14ac:dyDescent="0.35">
      <c r="A47" s="29" t="str">
        <f>IF(OR(C47&gt;Report!$H$4,C47&lt;Report!$G$4),"",IF(OR(J47*K47=1,K47-J47=1),'!'!$GJ$14,""))</f>
        <v/>
      </c>
      <c r="B47" s="366">
        <f>IF(A47="",0,COUNTIF($A$25:$A47,'!'!$GJ$14))</f>
        <v>0</v>
      </c>
      <c r="C47" s="392"/>
      <c r="D47" s="393"/>
      <c r="E47" s="394"/>
      <c r="F47" s="394"/>
      <c r="G47" s="394"/>
      <c r="H47" s="394"/>
      <c r="I47" s="370"/>
      <c r="J47" s="391">
        <f>IF(OR(Report!$G$4=C47,Report!$H$4=C47),1,0)</f>
        <v>0</v>
      </c>
      <c r="K47" s="366">
        <f>SUM($J$25:J47)</f>
        <v>2</v>
      </c>
    </row>
    <row r="48" spans="1:11" ht="14.5" x14ac:dyDescent="0.35">
      <c r="A48" s="29" t="str">
        <f>IF(OR(C48&gt;Report!$H$4,C48&lt;Report!$G$4),"",IF(OR(J48*K48=1,K48-J48=1),'!'!$GJ$14,""))</f>
        <v/>
      </c>
      <c r="B48" s="366">
        <f>IF(A48="",0,COUNTIF($A$25:$A48,'!'!$GJ$14))</f>
        <v>0</v>
      </c>
      <c r="C48" s="392"/>
      <c r="D48" s="393"/>
      <c r="E48" s="394"/>
      <c r="F48" s="394"/>
      <c r="G48" s="394"/>
      <c r="H48" s="394"/>
      <c r="I48" s="370"/>
      <c r="J48" s="391">
        <f>IF(OR(Report!$G$4=C48,Report!$H$4=C48),1,0)</f>
        <v>0</v>
      </c>
      <c r="K48" s="366">
        <f>SUM($J$25:J48)</f>
        <v>2</v>
      </c>
    </row>
    <row r="49" spans="1:11" ht="14.5" x14ac:dyDescent="0.35">
      <c r="A49" s="29" t="str">
        <f>IF(OR(C49&gt;Report!$H$4,C49&lt;Report!$G$4),"",IF(OR(J49*K49=1,K49-J49=1),'!'!$GJ$14,""))</f>
        <v/>
      </c>
      <c r="B49" s="366">
        <f>IF(A49="",0,COUNTIF($A$25:$A49,'!'!$GJ$14))</f>
        <v>0</v>
      </c>
      <c r="C49" s="392"/>
      <c r="D49" s="393"/>
      <c r="E49" s="394"/>
      <c r="F49" s="394"/>
      <c r="G49" s="394"/>
      <c r="H49" s="394"/>
      <c r="I49" s="370"/>
      <c r="J49" s="391">
        <f>IF(OR(Report!$G$4=C49,Report!$H$4=C49),1,0)</f>
        <v>0</v>
      </c>
      <c r="K49" s="366">
        <f>SUM($J$25:J49)</f>
        <v>2</v>
      </c>
    </row>
    <row r="50" spans="1:11" ht="14.5" x14ac:dyDescent="0.35">
      <c r="A50" s="29" t="str">
        <f>IF(OR(C50&gt;Report!$H$4,C50&lt;Report!$G$4),"",IF(OR(J50*K50=1,K50-J50=1),'!'!$GJ$14,""))</f>
        <v/>
      </c>
      <c r="B50" s="366">
        <f>IF(A50="",0,COUNTIF($A$25:$A50,'!'!$GJ$14))</f>
        <v>0</v>
      </c>
      <c r="C50" s="392"/>
      <c r="D50" s="393"/>
      <c r="E50" s="394"/>
      <c r="F50" s="394"/>
      <c r="G50" s="394"/>
      <c r="H50" s="394"/>
      <c r="I50" s="370"/>
      <c r="J50" s="391">
        <f>IF(OR(Report!$G$4=C50,Report!$H$4=C50),1,0)</f>
        <v>0</v>
      </c>
      <c r="K50" s="366">
        <f>SUM($J$25:J50)</f>
        <v>2</v>
      </c>
    </row>
    <row r="51" spans="1:11" ht="14.5" x14ac:dyDescent="0.35">
      <c r="A51" s="29" t="str">
        <f>IF(OR(C51&gt;Report!$H$4,C51&lt;Report!$G$4),"",IF(OR(J51*K51=1,K51-J51=1),'!'!$GJ$14,""))</f>
        <v/>
      </c>
      <c r="B51" s="366">
        <f>IF(A51="",0,COUNTIF($A$25:$A51,'!'!$GJ$14))</f>
        <v>0</v>
      </c>
      <c r="C51" s="392"/>
      <c r="D51" s="393"/>
      <c r="E51" s="394"/>
      <c r="F51" s="394"/>
      <c r="G51" s="394"/>
      <c r="H51" s="394"/>
      <c r="I51" s="370"/>
      <c r="J51" s="391">
        <f>IF(OR(Report!$G$4=C51,Report!$H$4=C51),1,0)</f>
        <v>0</v>
      </c>
      <c r="K51" s="366">
        <f>SUM($J$25:J51)</f>
        <v>2</v>
      </c>
    </row>
    <row r="52" spans="1:11" ht="14.5" x14ac:dyDescent="0.35">
      <c r="A52" s="29" t="str">
        <f>IF(OR(C52&gt;Report!$H$4,C52&lt;Report!$G$4),"",IF(OR(J52*K52=1,K52-J52=1),'!'!$GJ$14,""))</f>
        <v/>
      </c>
      <c r="B52" s="366">
        <f>IF(A52="",0,COUNTIF($A$25:$A52,'!'!$GJ$14))</f>
        <v>0</v>
      </c>
      <c r="C52" s="392"/>
      <c r="D52" s="393"/>
      <c r="E52" s="394"/>
      <c r="F52" s="394"/>
      <c r="G52" s="394"/>
      <c r="H52" s="394"/>
      <c r="I52" s="370"/>
      <c r="J52" s="391">
        <f>IF(OR(Report!$G$4=C52,Report!$H$4=C52),1,0)</f>
        <v>0</v>
      </c>
      <c r="K52" s="366">
        <f>SUM($J$25:J52)</f>
        <v>2</v>
      </c>
    </row>
    <row r="53" spans="1:11" ht="14.5" x14ac:dyDescent="0.35">
      <c r="A53" s="29" t="str">
        <f>IF(OR(C53&gt;Report!$H$4,C53&lt;Report!$G$4),"",IF(OR(J53*K53=1,K53-J53=1),'!'!$GJ$14,""))</f>
        <v/>
      </c>
      <c r="B53" s="366">
        <f>IF(A53="",0,COUNTIF($A$25:$A53,'!'!$GJ$14))</f>
        <v>0</v>
      </c>
      <c r="C53" s="392"/>
      <c r="D53" s="393"/>
      <c r="E53" s="394"/>
      <c r="F53" s="394"/>
      <c r="G53" s="394"/>
      <c r="H53" s="394"/>
      <c r="I53" s="370"/>
      <c r="J53" s="391">
        <f>IF(OR(Report!$G$4=C53,Report!$H$4=C53),1,0)</f>
        <v>0</v>
      </c>
      <c r="K53" s="366">
        <f>SUM($J$25:J53)</f>
        <v>2</v>
      </c>
    </row>
    <row r="54" spans="1:11" ht="14.5" x14ac:dyDescent="0.35">
      <c r="A54" s="29" t="str">
        <f>IF(OR(C54&gt;Report!$H$4,C54&lt;Report!$G$4),"",IF(OR(J54*K54=1,K54-J54=1),'!'!$GJ$14,""))</f>
        <v/>
      </c>
      <c r="B54" s="366">
        <f>IF(A54="",0,COUNTIF($A$25:$A54,'!'!$GJ$14))</f>
        <v>0</v>
      </c>
      <c r="C54" s="392"/>
      <c r="D54" s="393"/>
      <c r="E54" s="394"/>
      <c r="F54" s="394"/>
      <c r="G54" s="394"/>
      <c r="H54" s="394"/>
      <c r="I54" s="370"/>
      <c r="J54" s="391">
        <f>IF(OR(Report!$G$4=C54,Report!$H$4=C54),1,0)</f>
        <v>0</v>
      </c>
      <c r="K54" s="366">
        <f>SUM($J$25:J54)</f>
        <v>2</v>
      </c>
    </row>
    <row r="55" spans="1:11" ht="14.5" x14ac:dyDescent="0.35">
      <c r="A55" s="29" t="str">
        <f>IF(OR(C55&gt;Report!$H$4,C55&lt;Report!$G$4),"",IF(OR(J55*K55=1,K55-J55=1),'!'!$GJ$14,""))</f>
        <v/>
      </c>
      <c r="B55" s="366">
        <f>IF(A55="",0,COUNTIF($A$25:$A55,'!'!$GJ$14))</f>
        <v>0</v>
      </c>
      <c r="C55" s="392"/>
      <c r="D55" s="393"/>
      <c r="E55" s="394"/>
      <c r="F55" s="394"/>
      <c r="G55" s="394"/>
      <c r="H55" s="394"/>
      <c r="I55" s="370"/>
      <c r="J55" s="391">
        <f>IF(OR(Report!$G$4=C55,Report!$H$4=C55),1,0)</f>
        <v>0</v>
      </c>
      <c r="K55" s="366">
        <f>SUM($J$25:J55)</f>
        <v>2</v>
      </c>
    </row>
    <row r="56" spans="1:11" ht="14.5" x14ac:dyDescent="0.35">
      <c r="A56" s="29" t="str">
        <f>IF(OR(C56&gt;Report!$H$4,C56&lt;Report!$G$4),"",IF(OR(J56*K56=1,K56-J56=1),'!'!$GJ$14,""))</f>
        <v/>
      </c>
      <c r="B56" s="366">
        <f>IF(A56="",0,COUNTIF($A$25:$A56,'!'!$GJ$14))</f>
        <v>0</v>
      </c>
      <c r="C56" s="392"/>
      <c r="D56" s="393"/>
      <c r="E56" s="394"/>
      <c r="F56" s="394"/>
      <c r="G56" s="394"/>
      <c r="H56" s="394"/>
      <c r="I56" s="370"/>
      <c r="J56" s="391">
        <f>IF(OR(Report!$G$4=C56,Report!$H$4=C56),1,0)</f>
        <v>0</v>
      </c>
      <c r="K56" s="366">
        <f>SUM($J$25:J56)</f>
        <v>2</v>
      </c>
    </row>
    <row r="57" spans="1:11" ht="14.5" x14ac:dyDescent="0.35">
      <c r="A57" s="29" t="str">
        <f>IF(OR(C57&gt;Report!$H$4,C57&lt;Report!$G$4),"",IF(OR(J57*K57=1,K57-J57=1),'!'!$GJ$14,""))</f>
        <v/>
      </c>
      <c r="B57" s="366">
        <f>IF(A57="",0,COUNTIF($A$25:$A57,'!'!$GJ$14))</f>
        <v>0</v>
      </c>
      <c r="C57" s="392"/>
      <c r="D57" s="393"/>
      <c r="E57" s="394"/>
      <c r="F57" s="394"/>
      <c r="G57" s="394"/>
      <c r="H57" s="394"/>
      <c r="I57" s="370"/>
      <c r="J57" s="391">
        <f>IF(OR(Report!$G$4=C57,Report!$H$4=C57),1,0)</f>
        <v>0</v>
      </c>
      <c r="K57" s="366">
        <f>SUM($J$25:J57)</f>
        <v>2</v>
      </c>
    </row>
    <row r="58" spans="1:11" ht="14.5" x14ac:dyDescent="0.35">
      <c r="A58" s="29" t="str">
        <f>IF(OR(C58&gt;Report!$H$4,C58&lt;Report!$G$4),"",IF(OR(J58*K58=1,K58-J58=1),'!'!$GJ$14,""))</f>
        <v/>
      </c>
      <c r="B58" s="366">
        <f>IF(A58="",0,COUNTIF($A$25:$A58,'!'!$GJ$14))</f>
        <v>0</v>
      </c>
      <c r="C58" s="392"/>
      <c r="D58" s="393"/>
      <c r="E58" s="394"/>
      <c r="F58" s="394"/>
      <c r="G58" s="394"/>
      <c r="H58" s="394"/>
      <c r="I58" s="370"/>
      <c r="J58" s="391">
        <f>IF(OR(Report!$G$4=C58,Report!$H$4=C58),1,0)</f>
        <v>0</v>
      </c>
      <c r="K58" s="366">
        <f>SUM($J$25:J58)</f>
        <v>2</v>
      </c>
    </row>
    <row r="59" spans="1:11" ht="14.5" x14ac:dyDescent="0.35">
      <c r="A59" s="29" t="str">
        <f>IF(OR(C59&gt;Report!$H$4,C59&lt;Report!$G$4),"",IF(OR(J59*K59=1,K59-J59=1),'!'!$GJ$14,""))</f>
        <v/>
      </c>
      <c r="B59" s="366">
        <f>IF(A59="",0,COUNTIF($A$25:$A59,'!'!$GJ$14))</f>
        <v>0</v>
      </c>
      <c r="C59" s="392"/>
      <c r="D59" s="393"/>
      <c r="E59" s="394"/>
      <c r="F59" s="394"/>
      <c r="G59" s="394"/>
      <c r="H59" s="394"/>
      <c r="I59" s="370"/>
      <c r="J59" s="391">
        <f>IF(OR(Report!$G$4=C59,Report!$H$4=C59),1,0)</f>
        <v>0</v>
      </c>
      <c r="K59" s="366">
        <f>SUM($J$25:J59)</f>
        <v>2</v>
      </c>
    </row>
    <row r="60" spans="1:11" ht="14.5" x14ac:dyDescent="0.35">
      <c r="A60" s="29" t="str">
        <f>IF(OR(C60&gt;Report!$H$4,C60&lt;Report!$G$4),"",IF(OR(J60*K60=1,K60-J60=1),'!'!$GJ$14,""))</f>
        <v/>
      </c>
      <c r="B60" s="366">
        <f>IF(A60="",0,COUNTIF($A$25:$A60,'!'!$GJ$14))</f>
        <v>0</v>
      </c>
      <c r="C60" s="392"/>
      <c r="D60" s="393"/>
      <c r="E60" s="394"/>
      <c r="F60" s="394"/>
      <c r="G60" s="394"/>
      <c r="H60" s="394"/>
      <c r="I60" s="370"/>
      <c r="J60" s="391">
        <f>IF(OR(Report!$G$4=C60,Report!$H$4=C60),1,0)</f>
        <v>0</v>
      </c>
      <c r="K60" s="366">
        <f>SUM($J$25:J60)</f>
        <v>2</v>
      </c>
    </row>
    <row r="61" spans="1:11" ht="14.5" x14ac:dyDescent="0.35">
      <c r="A61" s="29" t="str">
        <f>IF(OR(C61&gt;Report!$H$4,C61&lt;Report!$G$4),"",IF(OR(J61*K61=1,K61-J61=1),'!'!$GJ$14,""))</f>
        <v/>
      </c>
      <c r="B61" s="366">
        <f>IF(A61="",0,COUNTIF($A$25:$A61,'!'!$GJ$14))</f>
        <v>0</v>
      </c>
      <c r="C61" s="392"/>
      <c r="D61" s="393"/>
      <c r="E61" s="394"/>
      <c r="F61" s="394"/>
      <c r="G61" s="394"/>
      <c r="H61" s="394"/>
      <c r="I61" s="370"/>
      <c r="J61" s="391">
        <f>IF(OR(Report!$G$4=C61,Report!$H$4=C61),1,0)</f>
        <v>0</v>
      </c>
      <c r="K61" s="366">
        <f>SUM($J$25:J61)</f>
        <v>2</v>
      </c>
    </row>
    <row r="62" spans="1:11" ht="14.5" x14ac:dyDescent="0.35">
      <c r="A62" s="29" t="str">
        <f>IF(OR(C62&gt;Report!$H$4,C62&lt;Report!$G$4),"",IF(OR(J62*K62=1,K62-J62=1),'!'!$GJ$14,""))</f>
        <v/>
      </c>
      <c r="B62" s="366">
        <f>IF(A62="",0,COUNTIF($A$25:$A62,'!'!$GJ$14))</f>
        <v>0</v>
      </c>
      <c r="C62" s="392"/>
      <c r="D62" s="393"/>
      <c r="E62" s="394"/>
      <c r="F62" s="394"/>
      <c r="G62" s="394"/>
      <c r="H62" s="394"/>
      <c r="I62" s="370"/>
      <c r="J62" s="391">
        <f>IF(OR(Report!$G$4=C62,Report!$H$4=C62),1,0)</f>
        <v>0</v>
      </c>
      <c r="K62" s="366">
        <f>SUM($J$25:J62)</f>
        <v>2</v>
      </c>
    </row>
    <row r="63" spans="1:11" ht="14.5" x14ac:dyDescent="0.35">
      <c r="A63" s="29" t="str">
        <f>IF(OR(C63&gt;Report!$H$4,C63&lt;Report!$G$4),"",IF(OR(J63*K63=1,K63-J63=1),'!'!$GJ$14,""))</f>
        <v/>
      </c>
      <c r="B63" s="366">
        <f>IF(A63="",0,COUNTIF($A$25:$A63,'!'!$GJ$14))</f>
        <v>0</v>
      </c>
      <c r="C63" s="392"/>
      <c r="D63" s="393"/>
      <c r="E63" s="394"/>
      <c r="F63" s="394"/>
      <c r="G63" s="394"/>
      <c r="H63" s="394"/>
      <c r="I63" s="370"/>
      <c r="J63" s="391">
        <f>IF(OR(Report!$G$4=C63,Report!$H$4=C63),1,0)</f>
        <v>0</v>
      </c>
      <c r="K63" s="366">
        <f>SUM($J$25:J63)</f>
        <v>2</v>
      </c>
    </row>
    <row r="64" spans="1:11" ht="14.5" x14ac:dyDescent="0.35">
      <c r="A64" s="29" t="str">
        <f>IF(OR(C64&gt;Report!$H$4,C64&lt;Report!$G$4),"",IF(OR(J64*K64=1,K64-J64=1),'!'!$GJ$14,""))</f>
        <v/>
      </c>
      <c r="B64" s="366">
        <f>IF(A64="",0,COUNTIF($A$25:$A64,'!'!$GJ$14))</f>
        <v>0</v>
      </c>
      <c r="C64" s="392"/>
      <c r="D64" s="393"/>
      <c r="E64" s="394"/>
      <c r="F64" s="394"/>
      <c r="G64" s="394"/>
      <c r="H64" s="394"/>
      <c r="I64" s="370"/>
      <c r="J64" s="391">
        <f>IF(OR(Report!$G$4=C64,Report!$H$4=C64),1,0)</f>
        <v>0</v>
      </c>
      <c r="K64" s="366">
        <f>SUM($J$25:J64)</f>
        <v>2</v>
      </c>
    </row>
    <row r="65" spans="1:11" ht="14.5" x14ac:dyDescent="0.35">
      <c r="A65" s="29" t="str">
        <f>IF(OR(C65&gt;Report!$H$4,C65&lt;Report!$G$4),"",IF(OR(J65*K65=1,K65-J65=1),'!'!$GJ$14,""))</f>
        <v/>
      </c>
      <c r="B65" s="366">
        <f>IF(A65="",0,COUNTIF($A$25:$A65,'!'!$GJ$14))</f>
        <v>0</v>
      </c>
      <c r="C65" s="392"/>
      <c r="D65" s="393"/>
      <c r="E65" s="394"/>
      <c r="F65" s="394"/>
      <c r="G65" s="394"/>
      <c r="H65" s="394"/>
      <c r="I65" s="370"/>
      <c r="J65" s="391">
        <f>IF(OR(Report!$G$4=C65,Report!$H$4=C65),1,0)</f>
        <v>0</v>
      </c>
      <c r="K65" s="366">
        <f>SUM($J$25:J65)</f>
        <v>2</v>
      </c>
    </row>
    <row r="66" spans="1:11" ht="14.5" x14ac:dyDescent="0.35">
      <c r="A66" s="29" t="str">
        <f>IF(OR(C66&gt;Report!$H$4,C66&lt;Report!$G$4),"",IF(OR(J66*K66=1,K66-J66=1),'!'!$GJ$14,""))</f>
        <v/>
      </c>
      <c r="B66" s="366">
        <f>IF(A66="",0,COUNTIF($A$25:$A66,'!'!$GJ$14))</f>
        <v>0</v>
      </c>
      <c r="C66" s="392"/>
      <c r="D66" s="393"/>
      <c r="E66" s="394"/>
      <c r="F66" s="394"/>
      <c r="G66" s="394"/>
      <c r="H66" s="394"/>
      <c r="I66" s="370"/>
      <c r="J66" s="391">
        <f>IF(OR(Report!$G$4=C66,Report!$H$4=C66),1,0)</f>
        <v>0</v>
      </c>
      <c r="K66" s="366">
        <f>SUM($J$25:J66)</f>
        <v>2</v>
      </c>
    </row>
    <row r="67" spans="1:11" ht="14.5" x14ac:dyDescent="0.35">
      <c r="A67" s="29" t="str">
        <f>IF(OR(C67&gt;Report!$H$4,C67&lt;Report!$G$4),"",IF(OR(J67*K67=1,K67-J67=1),'!'!$GJ$14,""))</f>
        <v/>
      </c>
      <c r="B67" s="366">
        <f>IF(A67="",0,COUNTIF($A$25:$A67,'!'!$GJ$14))</f>
        <v>0</v>
      </c>
      <c r="C67" s="392"/>
      <c r="D67" s="393"/>
      <c r="E67" s="394"/>
      <c r="F67" s="394"/>
      <c r="G67" s="394"/>
      <c r="H67" s="394"/>
      <c r="I67" s="370"/>
      <c r="J67" s="391">
        <f>IF(OR(Report!$G$4=C67,Report!$H$4=C67),1,0)</f>
        <v>0</v>
      </c>
      <c r="K67" s="366">
        <f>SUM($J$25:J67)</f>
        <v>2</v>
      </c>
    </row>
    <row r="68" spans="1:11" ht="14.5" x14ac:dyDescent="0.35">
      <c r="A68" s="29" t="str">
        <f>IF(OR(C68&gt;Report!$H$4,C68&lt;Report!$G$4),"",IF(OR(J68*K68=1,K68-J68=1),'!'!$GJ$14,""))</f>
        <v/>
      </c>
      <c r="B68" s="366">
        <f>IF(A68="",0,COUNTIF($A$25:$A68,'!'!$GJ$14))</f>
        <v>0</v>
      </c>
      <c r="C68" s="392"/>
      <c r="D68" s="393"/>
      <c r="E68" s="394"/>
      <c r="F68" s="394"/>
      <c r="G68" s="394"/>
      <c r="H68" s="394"/>
      <c r="I68" s="370"/>
      <c r="J68" s="391">
        <f>IF(OR(Report!$G$4=C68,Report!$H$4=C68),1,0)</f>
        <v>0</v>
      </c>
      <c r="K68" s="366">
        <f>SUM($J$25:J68)</f>
        <v>2</v>
      </c>
    </row>
    <row r="69" spans="1:11" ht="14.5" x14ac:dyDescent="0.35">
      <c r="A69" s="29" t="str">
        <f>IF(OR(C69&gt;Report!$H$4,C69&lt;Report!$G$4),"",IF(OR(J69*K69=1,K69-J69=1),'!'!$GJ$14,""))</f>
        <v/>
      </c>
      <c r="B69" s="366">
        <f>IF(A69="",0,COUNTIF($A$25:$A69,'!'!$GJ$14))</f>
        <v>0</v>
      </c>
      <c r="C69" s="392"/>
      <c r="D69" s="393"/>
      <c r="E69" s="394"/>
      <c r="F69" s="394"/>
      <c r="G69" s="394"/>
      <c r="H69" s="394"/>
      <c r="I69" s="370"/>
      <c r="J69" s="391">
        <f>IF(OR(Report!$G$4=C69,Report!$H$4=C69),1,0)</f>
        <v>0</v>
      </c>
      <c r="K69" s="366">
        <f>SUM($J$25:J69)</f>
        <v>2</v>
      </c>
    </row>
    <row r="70" spans="1:11" ht="14.5" x14ac:dyDescent="0.35">
      <c r="A70" s="29" t="str">
        <f>IF(OR(C70&gt;Report!$H$4,C70&lt;Report!$G$4),"",IF(OR(J70*K70=1,K70-J70=1),'!'!$GJ$14,""))</f>
        <v/>
      </c>
      <c r="B70" s="366">
        <f>IF(A70="",0,COUNTIF($A$25:$A70,'!'!$GJ$14))</f>
        <v>0</v>
      </c>
      <c r="C70" s="392"/>
      <c r="D70" s="393"/>
      <c r="E70" s="394"/>
      <c r="F70" s="394"/>
      <c r="G70" s="394"/>
      <c r="H70" s="394"/>
      <c r="I70" s="370"/>
      <c r="J70" s="391">
        <f>IF(OR(Report!$G$4=C70,Report!$H$4=C70),1,0)</f>
        <v>0</v>
      </c>
      <c r="K70" s="366">
        <f>SUM($J$25:J70)</f>
        <v>2</v>
      </c>
    </row>
    <row r="71" spans="1:11" ht="14.5" x14ac:dyDescent="0.35">
      <c r="A71" s="29" t="str">
        <f>IF(OR(C71&gt;Report!$H$4,C71&lt;Report!$G$4),"",IF(OR(J71*K71=1,K71-J71=1),'!'!$GJ$14,""))</f>
        <v/>
      </c>
      <c r="B71" s="366">
        <f>IF(A71="",0,COUNTIF($A$25:$A71,'!'!$GJ$14))</f>
        <v>0</v>
      </c>
      <c r="C71" s="392"/>
      <c r="D71" s="393"/>
      <c r="E71" s="394"/>
      <c r="F71" s="394"/>
      <c r="G71" s="394"/>
      <c r="H71" s="394"/>
      <c r="I71" s="370"/>
      <c r="J71" s="391">
        <f>IF(OR(Report!$G$4=C71,Report!$H$4=C71),1,0)</f>
        <v>0</v>
      </c>
      <c r="K71" s="366">
        <f>SUM($J$25:J71)</f>
        <v>2</v>
      </c>
    </row>
    <row r="72" spans="1:11" ht="14.5" x14ac:dyDescent="0.35">
      <c r="A72" s="29" t="str">
        <f>IF(OR(C72&gt;Report!$H$4,C72&lt;Report!$G$4),"",IF(OR(J72*K72=1,K72-J72=1),'!'!$GJ$14,""))</f>
        <v/>
      </c>
      <c r="B72" s="366">
        <f>IF(A72="",0,COUNTIF($A$25:$A72,'!'!$GJ$14))</f>
        <v>0</v>
      </c>
      <c r="C72" s="392"/>
      <c r="D72" s="393"/>
      <c r="E72" s="394"/>
      <c r="F72" s="394"/>
      <c r="G72" s="394"/>
      <c r="H72" s="394"/>
      <c r="I72" s="370"/>
      <c r="J72" s="391">
        <f>IF(OR(Report!$G$4=C72,Report!$H$4=C72),1,0)</f>
        <v>0</v>
      </c>
      <c r="K72" s="366">
        <f>SUM($J$25:J72)</f>
        <v>2</v>
      </c>
    </row>
    <row r="73" spans="1:11" ht="14.5" x14ac:dyDescent="0.35">
      <c r="A73" s="29" t="str">
        <f>IF(OR(C73&gt;Report!$H$4,C73&lt;Report!$G$4),"",IF(OR(J73*K73=1,K73-J73=1),'!'!$GJ$14,""))</f>
        <v/>
      </c>
      <c r="B73" s="366">
        <f>IF(A73="",0,COUNTIF($A$25:$A73,'!'!$GJ$14))</f>
        <v>0</v>
      </c>
      <c r="C73" s="392"/>
      <c r="D73" s="393"/>
      <c r="E73" s="394"/>
      <c r="F73" s="394"/>
      <c r="G73" s="394"/>
      <c r="H73" s="394"/>
      <c r="I73" s="370"/>
      <c r="J73" s="391">
        <f>IF(OR(Report!$G$4=C73,Report!$H$4=C73),1,0)</f>
        <v>0</v>
      </c>
      <c r="K73" s="366">
        <f>SUM($J$25:J73)</f>
        <v>2</v>
      </c>
    </row>
    <row r="74" spans="1:11" ht="14.5" x14ac:dyDescent="0.35">
      <c r="A74" s="29" t="str">
        <f>IF(OR(C74&gt;Report!$H$4,C74&lt;Report!$G$4),"",IF(OR(J74*K74=1,K74-J74=1),'!'!$GJ$14,""))</f>
        <v/>
      </c>
      <c r="B74" s="366">
        <f>IF(A74="",0,COUNTIF($A$25:$A74,'!'!$GJ$14))</f>
        <v>0</v>
      </c>
      <c r="C74" s="392"/>
      <c r="D74" s="393"/>
      <c r="E74" s="394"/>
      <c r="F74" s="394"/>
      <c r="G74" s="394"/>
      <c r="H74" s="394"/>
      <c r="I74" s="370"/>
      <c r="J74" s="391">
        <f>IF(OR(Report!$G$4=C74,Report!$H$4=C74),1,0)</f>
        <v>0</v>
      </c>
      <c r="K74" s="366">
        <f>SUM($J$25:J74)</f>
        <v>2</v>
      </c>
    </row>
    <row r="75" spans="1:11" ht="14.5" x14ac:dyDescent="0.35">
      <c r="A75" s="29" t="str">
        <f>IF(OR(C75&gt;Report!$H$4,C75&lt;Report!$G$4),"",IF(OR(J75*K75=1,K75-J75=1),'!'!$GJ$14,""))</f>
        <v/>
      </c>
      <c r="B75" s="366">
        <f>IF(A75="",0,COUNTIF($A$25:$A75,'!'!$GJ$14))</f>
        <v>0</v>
      </c>
      <c r="C75" s="392"/>
      <c r="D75" s="393"/>
      <c r="E75" s="394"/>
      <c r="F75" s="394"/>
      <c r="G75" s="394"/>
      <c r="H75" s="394"/>
      <c r="I75" s="370"/>
      <c r="J75" s="391">
        <f>IF(OR(Report!$G$4=C75,Report!$H$4=C75),1,0)</f>
        <v>0</v>
      </c>
      <c r="K75" s="366">
        <f>SUM($J$25:J75)</f>
        <v>2</v>
      </c>
    </row>
    <row r="76" spans="1:11" ht="14.5" x14ac:dyDescent="0.35">
      <c r="A76" s="29" t="str">
        <f>IF(OR(C76&gt;Report!$H$4,C76&lt;Report!$G$4),"",IF(OR(J76*K76=1,K76-J76=1),'!'!$GJ$14,""))</f>
        <v/>
      </c>
      <c r="B76" s="366">
        <f>IF(A76="",0,COUNTIF($A$25:$A76,'!'!$GJ$14))</f>
        <v>0</v>
      </c>
      <c r="C76" s="392"/>
      <c r="D76" s="393"/>
      <c r="E76" s="394"/>
      <c r="F76" s="394"/>
      <c r="G76" s="394"/>
      <c r="H76" s="394"/>
      <c r="I76" s="370"/>
      <c r="J76" s="391">
        <f>IF(OR(Report!$G$4=C76,Report!$H$4=C76),1,0)</f>
        <v>0</v>
      </c>
      <c r="K76" s="366">
        <f>SUM($J$25:J76)</f>
        <v>2</v>
      </c>
    </row>
    <row r="77" spans="1:11" ht="14.5" x14ac:dyDescent="0.35">
      <c r="A77" s="29" t="str">
        <f>IF(OR(C77&gt;Report!$H$4,C77&lt;Report!$G$4),"",IF(OR(J77*K77=1,K77-J77=1),'!'!$GJ$14,""))</f>
        <v/>
      </c>
      <c r="B77" s="366">
        <f>IF(A77="",0,COUNTIF($A$25:$A77,'!'!$GJ$14))</f>
        <v>0</v>
      </c>
      <c r="C77" s="392"/>
      <c r="D77" s="393"/>
      <c r="E77" s="394"/>
      <c r="F77" s="394"/>
      <c r="G77" s="394"/>
      <c r="H77" s="394"/>
      <c r="I77" s="370"/>
      <c r="J77" s="391">
        <f>IF(OR(Report!$G$4=C77,Report!$H$4=C77),1,0)</f>
        <v>0</v>
      </c>
      <c r="K77" s="366">
        <f>SUM($J$25:J77)</f>
        <v>2</v>
      </c>
    </row>
    <row r="78" spans="1:11" ht="14.5" x14ac:dyDescent="0.35">
      <c r="A78" s="29" t="str">
        <f>IF(OR(C78&gt;Report!$H$4,C78&lt;Report!$G$4),"",IF(OR(J78*K78=1,K78-J78=1),'!'!$GJ$14,""))</f>
        <v/>
      </c>
      <c r="B78" s="366">
        <f>IF(A78="",0,COUNTIF($A$25:$A78,'!'!$GJ$14))</f>
        <v>0</v>
      </c>
      <c r="C78" s="392"/>
      <c r="D78" s="393"/>
      <c r="E78" s="394"/>
      <c r="F78" s="394"/>
      <c r="G78" s="394"/>
      <c r="H78" s="394"/>
      <c r="I78" s="370"/>
      <c r="J78" s="391">
        <f>IF(OR(Report!$G$4=C78,Report!$H$4=C78),1,0)</f>
        <v>0</v>
      </c>
      <c r="K78" s="366">
        <f>SUM($J$25:J78)</f>
        <v>2</v>
      </c>
    </row>
    <row r="79" spans="1:11" ht="14.5" x14ac:dyDescent="0.35">
      <c r="A79" s="29" t="str">
        <f>IF(OR(C79&gt;Report!$H$4,C79&lt;Report!$G$4),"",IF(OR(J79*K79=1,K79-J79=1),'!'!$GJ$14,""))</f>
        <v/>
      </c>
      <c r="B79" s="366">
        <f>IF(A79="",0,COUNTIF($A$25:$A79,'!'!$GJ$14))</f>
        <v>0</v>
      </c>
      <c r="C79" s="392"/>
      <c r="D79" s="393"/>
      <c r="E79" s="394"/>
      <c r="F79" s="394"/>
      <c r="G79" s="394"/>
      <c r="H79" s="394"/>
      <c r="I79" s="370"/>
      <c r="J79" s="391">
        <f>IF(OR(Report!$G$4=C79,Report!$H$4=C79),1,0)</f>
        <v>0</v>
      </c>
      <c r="K79" s="366">
        <f>SUM($J$25:J79)</f>
        <v>2</v>
      </c>
    </row>
    <row r="80" spans="1:11" ht="14.5" x14ac:dyDescent="0.35">
      <c r="A80" s="29" t="str">
        <f>IF(OR(C80&gt;Report!$H$4,C80&lt;Report!$G$4),"",IF(OR(J80*K80=1,K80-J80=1),'!'!$GJ$14,""))</f>
        <v/>
      </c>
      <c r="B80" s="366">
        <f>IF(A80="",0,COUNTIF($A$25:$A80,'!'!$GJ$14))</f>
        <v>0</v>
      </c>
      <c r="C80" s="392"/>
      <c r="D80" s="393"/>
      <c r="E80" s="394"/>
      <c r="F80" s="394"/>
      <c r="G80" s="394"/>
      <c r="H80" s="394"/>
      <c r="I80" s="370"/>
      <c r="J80" s="391">
        <f>IF(OR(Report!$G$4=C80,Report!$H$4=C80),1,0)</f>
        <v>0</v>
      </c>
      <c r="K80" s="366">
        <f>SUM($J$25:J80)</f>
        <v>2</v>
      </c>
    </row>
    <row r="81" spans="1:11" ht="14.5" x14ac:dyDescent="0.35">
      <c r="A81" s="29" t="str">
        <f>IF(OR(C81&gt;Report!$H$4,C81&lt;Report!$G$4),"",IF(OR(J81*K81=1,K81-J81=1),'!'!$GJ$14,""))</f>
        <v/>
      </c>
      <c r="B81" s="366">
        <f>IF(A81="",0,COUNTIF($A$25:$A81,'!'!$GJ$14))</f>
        <v>0</v>
      </c>
      <c r="C81" s="392"/>
      <c r="D81" s="393"/>
      <c r="E81" s="394"/>
      <c r="F81" s="394"/>
      <c r="G81" s="394"/>
      <c r="H81" s="394"/>
      <c r="I81" s="370"/>
      <c r="J81" s="391">
        <f>IF(OR(Report!$G$4=C81,Report!$H$4=C81),1,0)</f>
        <v>0</v>
      </c>
      <c r="K81" s="366">
        <f>SUM($J$25:J81)</f>
        <v>2</v>
      </c>
    </row>
    <row r="82" spans="1:11" ht="14.5" x14ac:dyDescent="0.35">
      <c r="A82" s="29" t="str">
        <f>IF(OR(C82&gt;Report!$H$4,C82&lt;Report!$G$4),"",IF(OR(J82*K82=1,K82-J82=1),'!'!$GJ$14,""))</f>
        <v/>
      </c>
      <c r="B82" s="366">
        <f>IF(A82="",0,COUNTIF($A$25:$A82,'!'!$GJ$14))</f>
        <v>0</v>
      </c>
      <c r="C82" s="392"/>
      <c r="D82" s="393"/>
      <c r="E82" s="394"/>
      <c r="F82" s="394"/>
      <c r="G82" s="394"/>
      <c r="H82" s="394"/>
      <c r="I82" s="370"/>
      <c r="J82" s="391">
        <f>IF(OR(Report!$G$4=C82,Report!$H$4=C82),1,0)</f>
        <v>0</v>
      </c>
      <c r="K82" s="366">
        <f>SUM($J$25:J82)</f>
        <v>2</v>
      </c>
    </row>
    <row r="83" spans="1:11" ht="14.5" x14ac:dyDescent="0.35">
      <c r="A83" s="29" t="str">
        <f>IF(OR(C83&gt;Report!$H$4,C83&lt;Report!$G$4),"",IF(OR(J83*K83=1,K83-J83=1),'!'!$GJ$14,""))</f>
        <v/>
      </c>
      <c r="B83" s="366">
        <f>IF(A83="",0,COUNTIF($A$25:$A83,'!'!$GJ$14))</f>
        <v>0</v>
      </c>
      <c r="C83" s="392"/>
      <c r="D83" s="393"/>
      <c r="E83" s="394"/>
      <c r="F83" s="394"/>
      <c r="G83" s="394"/>
      <c r="H83" s="394"/>
      <c r="I83" s="370"/>
      <c r="J83" s="391">
        <f>IF(OR(Report!$G$4=C83,Report!$H$4=C83),1,0)</f>
        <v>0</v>
      </c>
      <c r="K83" s="366">
        <f>SUM($J$25:J83)</f>
        <v>2</v>
      </c>
    </row>
    <row r="84" spans="1:11" ht="14.5" x14ac:dyDescent="0.35">
      <c r="A84" s="29" t="str">
        <f>IF(OR(C84&gt;Report!$H$4,C84&lt;Report!$G$4),"",IF(OR(J84*K84=1,K84-J84=1),'!'!$GJ$14,""))</f>
        <v/>
      </c>
      <c r="B84" s="366">
        <f>IF(A84="",0,COUNTIF($A$25:$A84,'!'!$GJ$14))</f>
        <v>0</v>
      </c>
      <c r="C84" s="392"/>
      <c r="D84" s="393"/>
      <c r="E84" s="394"/>
      <c r="F84" s="394"/>
      <c r="G84" s="394"/>
      <c r="H84" s="394"/>
      <c r="I84" s="370"/>
      <c r="J84" s="391">
        <f>IF(OR(Report!$G$4=C84,Report!$H$4=C84),1,0)</f>
        <v>0</v>
      </c>
      <c r="K84" s="366">
        <f>SUM($J$25:J84)</f>
        <v>2</v>
      </c>
    </row>
    <row r="85" spans="1:11" ht="14.5" x14ac:dyDescent="0.35">
      <c r="A85" s="29" t="str">
        <f>IF(OR(C85&gt;Report!$H$4,C85&lt;Report!$G$4),"",IF(OR(J85*K85=1,K85-J85=1),'!'!$GJ$14,""))</f>
        <v/>
      </c>
      <c r="B85" s="366">
        <f>IF(A85="",0,COUNTIF($A$25:$A85,'!'!$GJ$14))</f>
        <v>0</v>
      </c>
      <c r="C85" s="392"/>
      <c r="D85" s="393"/>
      <c r="E85" s="394"/>
      <c r="F85" s="394"/>
      <c r="G85" s="394"/>
      <c r="H85" s="394"/>
      <c r="I85" s="370"/>
      <c r="J85" s="391">
        <f>IF(OR(Report!$G$4=C85,Report!$H$4=C85),1,0)</f>
        <v>0</v>
      </c>
      <c r="K85" s="366">
        <f>SUM($J$25:J85)</f>
        <v>2</v>
      </c>
    </row>
    <row r="86" spans="1:11" ht="14.5" x14ac:dyDescent="0.35">
      <c r="A86" s="29" t="str">
        <f>IF(OR(C86&gt;Report!$H$4,C86&lt;Report!$G$4),"",IF(OR(J86*K86=1,K86-J86=1),'!'!$GJ$14,""))</f>
        <v/>
      </c>
      <c r="B86" s="366">
        <f>IF(A86="",0,COUNTIF($A$25:$A86,'!'!$GJ$14))</f>
        <v>0</v>
      </c>
      <c r="C86" s="392"/>
      <c r="D86" s="393"/>
      <c r="E86" s="394"/>
      <c r="F86" s="394"/>
      <c r="G86" s="394"/>
      <c r="H86" s="394"/>
      <c r="I86" s="370"/>
      <c r="J86" s="391">
        <f>IF(OR(Report!$G$4=C86,Report!$H$4=C86),1,0)</f>
        <v>0</v>
      </c>
      <c r="K86" s="366">
        <f>SUM($J$25:J86)</f>
        <v>2</v>
      </c>
    </row>
    <row r="87" spans="1:11" ht="14.5" x14ac:dyDescent="0.35">
      <c r="A87" s="29" t="str">
        <f>IF(OR(C87&gt;Report!$H$4,C87&lt;Report!$G$4),"",IF(OR(J87*K87=1,K87-J87=1),'!'!$GJ$14,""))</f>
        <v/>
      </c>
      <c r="B87" s="366">
        <f>IF(A87="",0,COUNTIF($A$25:$A87,'!'!$GJ$14))</f>
        <v>0</v>
      </c>
      <c r="C87" s="392"/>
      <c r="D87" s="393"/>
      <c r="E87" s="394"/>
      <c r="F87" s="394"/>
      <c r="G87" s="394"/>
      <c r="H87" s="394"/>
      <c r="I87" s="370"/>
      <c r="J87" s="391">
        <f>IF(OR(Report!$G$4=C87,Report!$H$4=C87),1,0)</f>
        <v>0</v>
      </c>
      <c r="K87" s="366">
        <f>SUM($J$25:J87)</f>
        <v>2</v>
      </c>
    </row>
    <row r="88" spans="1:11" ht="14.5" x14ac:dyDescent="0.35">
      <c r="A88" s="29" t="str">
        <f>IF(OR(C88&gt;Report!$H$4,C88&lt;Report!$G$4),"",IF(OR(J88*K88=1,K88-J88=1),'!'!$GJ$14,""))</f>
        <v/>
      </c>
      <c r="B88" s="366">
        <f>IF(A88="",0,COUNTIF($A$25:$A88,'!'!$GJ$14))</f>
        <v>0</v>
      </c>
      <c r="C88" s="392"/>
      <c r="D88" s="393"/>
      <c r="E88" s="394"/>
      <c r="F88" s="394"/>
      <c r="G88" s="394"/>
      <c r="H88" s="394"/>
      <c r="I88" s="370"/>
      <c r="J88" s="391">
        <f>IF(OR(Report!$G$4=C88,Report!$H$4=C88),1,0)</f>
        <v>0</v>
      </c>
      <c r="K88" s="366">
        <f>SUM($J$25:J88)</f>
        <v>2</v>
      </c>
    </row>
    <row r="89" spans="1:11" ht="14.5" x14ac:dyDescent="0.35">
      <c r="A89" s="29" t="str">
        <f>IF(OR(C89&gt;Report!$H$4,C89&lt;Report!$G$4),"",IF(OR(J89*K89=1,K89-J89=1),'!'!$GJ$14,""))</f>
        <v/>
      </c>
      <c r="B89" s="366">
        <f>IF(A89="",0,COUNTIF($A$25:$A89,'!'!$GJ$14))</f>
        <v>0</v>
      </c>
      <c r="C89" s="392"/>
      <c r="D89" s="393"/>
      <c r="E89" s="394"/>
      <c r="F89" s="394"/>
      <c r="G89" s="394"/>
      <c r="H89" s="394"/>
      <c r="I89" s="370"/>
      <c r="J89" s="391">
        <f>IF(OR(Report!$G$4=C89,Report!$H$4=C89),1,0)</f>
        <v>0</v>
      </c>
      <c r="K89" s="366">
        <f>SUM($J$25:J89)</f>
        <v>2</v>
      </c>
    </row>
    <row r="90" spans="1:11" ht="14.5" x14ac:dyDescent="0.35">
      <c r="A90" s="29" t="str">
        <f>IF(OR(C90&gt;Report!$H$4,C90&lt;Report!$G$4),"",IF(OR(J90*K90=1,K90-J90=1),'!'!$GJ$14,""))</f>
        <v/>
      </c>
      <c r="B90" s="366">
        <f>IF(A90="",0,COUNTIF($A$25:$A90,'!'!$GJ$14))</f>
        <v>0</v>
      </c>
      <c r="C90" s="392"/>
      <c r="D90" s="393"/>
      <c r="E90" s="394"/>
      <c r="F90" s="394"/>
      <c r="G90" s="394"/>
      <c r="H90" s="394"/>
      <c r="I90" s="370"/>
      <c r="J90" s="391">
        <f>IF(OR(Report!$G$4=C90,Report!$H$4=C90),1,0)</f>
        <v>0</v>
      </c>
      <c r="K90" s="366">
        <f>SUM($J$25:J90)</f>
        <v>2</v>
      </c>
    </row>
    <row r="91" spans="1:11" ht="14.5" x14ac:dyDescent="0.35">
      <c r="A91" s="29" t="str">
        <f>IF(OR(C91&gt;Report!$H$4,C91&lt;Report!$G$4),"",IF(OR(J91*K91=1,K91-J91=1),'!'!$GJ$14,""))</f>
        <v/>
      </c>
      <c r="B91" s="366">
        <f>IF(A91="",0,COUNTIF($A$25:$A91,'!'!$GJ$14))</f>
        <v>0</v>
      </c>
      <c r="C91" s="392"/>
      <c r="D91" s="393"/>
      <c r="E91" s="394"/>
      <c r="F91" s="394"/>
      <c r="G91" s="394"/>
      <c r="H91" s="394"/>
      <c r="I91" s="370"/>
      <c r="J91" s="391">
        <f>IF(OR(Report!$G$4=C91,Report!$H$4=C91),1,0)</f>
        <v>0</v>
      </c>
      <c r="K91" s="366">
        <f>SUM($J$25:J91)</f>
        <v>2</v>
      </c>
    </row>
    <row r="92" spans="1:11" ht="14.5" x14ac:dyDescent="0.35">
      <c r="A92" s="29" t="str">
        <f>IF(OR(C92&gt;Report!$H$4,C92&lt;Report!$G$4),"",IF(OR(J92*K92=1,K92-J92=1),'!'!$GJ$14,""))</f>
        <v/>
      </c>
      <c r="B92" s="366">
        <f>IF(A92="",0,COUNTIF($A$25:$A92,'!'!$GJ$14))</f>
        <v>0</v>
      </c>
      <c r="C92" s="392"/>
      <c r="D92" s="393"/>
      <c r="E92" s="394"/>
      <c r="F92" s="394"/>
      <c r="G92" s="394"/>
      <c r="H92" s="394"/>
      <c r="I92" s="370"/>
      <c r="J92" s="391">
        <f>IF(OR(Report!$G$4=C92,Report!$H$4=C92),1,0)</f>
        <v>0</v>
      </c>
      <c r="K92" s="366">
        <f>SUM($J$25:J92)</f>
        <v>2</v>
      </c>
    </row>
    <row r="93" spans="1:11" ht="14.5" x14ac:dyDescent="0.35">
      <c r="A93" s="29" t="str">
        <f>IF(OR(C93&gt;Report!$H$4,C93&lt;Report!$G$4),"",IF(OR(J93*K93=1,K93-J93=1),'!'!$GJ$14,""))</f>
        <v/>
      </c>
      <c r="B93" s="366">
        <f>IF(A93="",0,COUNTIF($A$25:$A93,'!'!$GJ$14))</f>
        <v>0</v>
      </c>
      <c r="C93" s="392"/>
      <c r="D93" s="393"/>
      <c r="E93" s="394"/>
      <c r="F93" s="394"/>
      <c r="G93" s="394"/>
      <c r="H93" s="394"/>
      <c r="I93" s="370"/>
      <c r="J93" s="391">
        <f>IF(OR(Report!$G$4=C93,Report!$H$4=C93),1,0)</f>
        <v>0</v>
      </c>
      <c r="K93" s="366">
        <f>SUM($J$25:J93)</f>
        <v>2</v>
      </c>
    </row>
    <row r="94" spans="1:11" ht="14.5" x14ac:dyDescent="0.35">
      <c r="A94" s="29" t="str">
        <f>IF(OR(C94&gt;Report!$H$4,C94&lt;Report!$G$4),"",IF(OR(J94*K94=1,K94-J94=1),'!'!$GJ$14,""))</f>
        <v/>
      </c>
      <c r="B94" s="366">
        <f>IF(A94="",0,COUNTIF($A$25:$A94,'!'!$GJ$14))</f>
        <v>0</v>
      </c>
      <c r="C94" s="392"/>
      <c r="D94" s="393"/>
      <c r="E94" s="394"/>
      <c r="F94" s="394"/>
      <c r="G94" s="394"/>
      <c r="H94" s="394"/>
      <c r="I94" s="370"/>
      <c r="J94" s="391">
        <f>IF(OR(Report!$G$4=C94,Report!$H$4=C94),1,0)</f>
        <v>0</v>
      </c>
      <c r="K94" s="366">
        <f>SUM($J$25:J94)</f>
        <v>2</v>
      </c>
    </row>
    <row r="95" spans="1:11" ht="14.5" x14ac:dyDescent="0.35">
      <c r="A95" s="29" t="str">
        <f>IF(OR(C95&gt;Report!$H$4,C95&lt;Report!$G$4),"",IF(OR(J95*K95=1,K95-J95=1),'!'!$GJ$14,""))</f>
        <v/>
      </c>
      <c r="B95" s="366">
        <f>IF(A95="",0,COUNTIF($A$25:$A95,'!'!$GJ$14))</f>
        <v>0</v>
      </c>
      <c r="C95" s="392"/>
      <c r="D95" s="393"/>
      <c r="E95" s="394"/>
      <c r="F95" s="394"/>
      <c r="G95" s="394"/>
      <c r="H95" s="394"/>
      <c r="I95" s="370"/>
      <c r="J95" s="391">
        <f>IF(OR(Report!$G$4=C95,Report!$H$4=C95),1,0)</f>
        <v>0</v>
      </c>
      <c r="K95" s="366">
        <f>SUM($J$25:J95)</f>
        <v>2</v>
      </c>
    </row>
    <row r="96" spans="1:11" ht="14.5" x14ac:dyDescent="0.35">
      <c r="A96" s="29" t="str">
        <f>IF(OR(C96&gt;Report!$H$4,C96&lt;Report!$G$4),"",IF(OR(J96*K96=1,K96-J96=1),'!'!$GJ$14,""))</f>
        <v/>
      </c>
      <c r="B96" s="366">
        <f>IF(A96="",0,COUNTIF($A$25:$A96,'!'!$GJ$14))</f>
        <v>0</v>
      </c>
      <c r="C96" s="392"/>
      <c r="D96" s="393"/>
      <c r="E96" s="394"/>
      <c r="F96" s="394"/>
      <c r="G96" s="394"/>
      <c r="H96" s="394"/>
      <c r="I96" s="370"/>
      <c r="J96" s="391">
        <f>IF(OR(Report!$G$4=C96,Report!$H$4=C96),1,0)</f>
        <v>0</v>
      </c>
      <c r="K96" s="366">
        <f>SUM($J$25:J96)</f>
        <v>2</v>
      </c>
    </row>
    <row r="97" spans="1:11" ht="14.5" x14ac:dyDescent="0.35">
      <c r="A97" s="29" t="str">
        <f>IF(OR(C97&gt;Report!$H$4,C97&lt;Report!$G$4),"",IF(OR(J97*K97=1,K97-J97=1),'!'!$GJ$14,""))</f>
        <v/>
      </c>
      <c r="B97" s="366">
        <f>IF(A97="",0,COUNTIF($A$25:$A97,'!'!$GJ$14))</f>
        <v>0</v>
      </c>
      <c r="C97" s="392"/>
      <c r="D97" s="393"/>
      <c r="E97" s="394"/>
      <c r="F97" s="394"/>
      <c r="G97" s="394"/>
      <c r="H97" s="394"/>
      <c r="I97" s="370"/>
      <c r="J97" s="391">
        <f>IF(OR(Report!$G$4=C97,Report!$H$4=C97),1,0)</f>
        <v>0</v>
      </c>
      <c r="K97" s="366">
        <f>SUM($J$25:J97)</f>
        <v>2</v>
      </c>
    </row>
    <row r="98" spans="1:11" ht="14.5" x14ac:dyDescent="0.35">
      <c r="A98" s="29" t="str">
        <f>IF(OR(C98&gt;Report!$H$4,C98&lt;Report!$G$4),"",IF(OR(J98*K98=1,K98-J98=1),'!'!$GJ$14,""))</f>
        <v/>
      </c>
      <c r="B98" s="366">
        <f>IF(A98="",0,COUNTIF($A$25:$A98,'!'!$GJ$14))</f>
        <v>0</v>
      </c>
      <c r="C98" s="392"/>
      <c r="D98" s="393"/>
      <c r="E98" s="394"/>
      <c r="F98" s="394"/>
      <c r="G98" s="394"/>
      <c r="H98" s="394"/>
      <c r="I98" s="370"/>
      <c r="J98" s="391">
        <f>IF(OR(Report!$G$4=C98,Report!$H$4=C98),1,0)</f>
        <v>0</v>
      </c>
      <c r="K98" s="366">
        <f>SUM($J$25:J98)</f>
        <v>2</v>
      </c>
    </row>
    <row r="99" spans="1:11" ht="14.5" x14ac:dyDescent="0.35">
      <c r="A99" s="29" t="str">
        <f>IF(OR(C99&gt;Report!$H$4,C99&lt;Report!$G$4),"",IF(OR(J99*K99=1,K99-J99=1),'!'!$GJ$14,""))</f>
        <v/>
      </c>
      <c r="B99" s="366">
        <f>IF(A99="",0,COUNTIF($A$25:$A99,'!'!$GJ$14))</f>
        <v>0</v>
      </c>
      <c r="C99" s="392"/>
      <c r="D99" s="393"/>
      <c r="E99" s="394"/>
      <c r="F99" s="394"/>
      <c r="G99" s="394"/>
      <c r="H99" s="394"/>
      <c r="I99" s="370"/>
      <c r="J99" s="391">
        <f>IF(OR(Report!$G$4=C99,Report!$H$4=C99),1,0)</f>
        <v>0</v>
      </c>
      <c r="K99" s="366">
        <f>SUM($J$25:J99)</f>
        <v>2</v>
      </c>
    </row>
    <row r="100" spans="1:11" ht="14.5" x14ac:dyDescent="0.35">
      <c r="A100" s="29" t="str">
        <f>IF(OR(C100&gt;Report!$H$4,C100&lt;Report!$G$4),"",IF(OR(J100*K100=1,K100-J100=1),'!'!$GJ$14,""))</f>
        <v/>
      </c>
      <c r="B100" s="366">
        <f>IF(A100="",0,COUNTIF($A$25:$A100,'!'!$GJ$14))</f>
        <v>0</v>
      </c>
      <c r="C100" s="392"/>
      <c r="D100" s="393"/>
      <c r="E100" s="394"/>
      <c r="F100" s="394"/>
      <c r="G100" s="394"/>
      <c r="H100" s="394"/>
      <c r="I100" s="370"/>
      <c r="J100" s="391">
        <f>IF(OR(Report!$G$4=C100,Report!$H$4=C100),1,0)</f>
        <v>0</v>
      </c>
      <c r="K100" s="366">
        <f>SUM($J$25:J100)</f>
        <v>2</v>
      </c>
    </row>
    <row r="101" spans="1:11" ht="14.5" x14ac:dyDescent="0.35">
      <c r="A101" s="29" t="str">
        <f>IF(OR(C101&gt;Report!$H$4,C101&lt;Report!$G$4),"",IF(OR(J101*K101=1,K101-J101=1),'!'!$GJ$14,""))</f>
        <v/>
      </c>
      <c r="B101" s="366">
        <f>IF(A101="",0,COUNTIF($A$25:$A101,'!'!$GJ$14))</f>
        <v>0</v>
      </c>
      <c r="C101" s="392"/>
      <c r="D101" s="393"/>
      <c r="E101" s="394"/>
      <c r="F101" s="394"/>
      <c r="G101" s="394"/>
      <c r="H101" s="394"/>
      <c r="I101" s="370"/>
      <c r="J101" s="391">
        <f>IF(OR(Report!$G$4=C101,Report!$H$4=C101),1,0)</f>
        <v>0</v>
      </c>
      <c r="K101" s="366">
        <f>SUM($J$25:J101)</f>
        <v>2</v>
      </c>
    </row>
    <row r="102" spans="1:11" ht="14.5" x14ac:dyDescent="0.35">
      <c r="A102" s="29" t="str">
        <f>IF(OR(C102&gt;Report!$H$4,C102&lt;Report!$G$4),"",IF(OR(J102*K102=1,K102-J102=1),'!'!$GJ$14,""))</f>
        <v/>
      </c>
      <c r="B102" s="366">
        <f>IF(A102="",0,COUNTIF($A$25:$A102,'!'!$GJ$14))</f>
        <v>0</v>
      </c>
      <c r="C102" s="392"/>
      <c r="D102" s="393"/>
      <c r="E102" s="394"/>
      <c r="F102" s="394"/>
      <c r="G102" s="394"/>
      <c r="H102" s="394"/>
      <c r="I102" s="370"/>
      <c r="J102" s="391">
        <f>IF(OR(Report!$G$4=C102,Report!$H$4=C102),1,0)</f>
        <v>0</v>
      </c>
      <c r="K102" s="366">
        <f>SUM($J$25:J102)</f>
        <v>2</v>
      </c>
    </row>
    <row r="103" spans="1:11" ht="14.5" x14ac:dyDescent="0.35">
      <c r="A103" s="29" t="str">
        <f>IF(OR(C103&gt;Report!$H$4,C103&lt;Report!$G$4),"",IF(OR(J103*K103=1,K103-J103=1),'!'!$GJ$14,""))</f>
        <v/>
      </c>
      <c r="B103" s="366">
        <f>IF(A103="",0,COUNTIF($A$25:$A103,'!'!$GJ$14))</f>
        <v>0</v>
      </c>
      <c r="C103" s="392"/>
      <c r="D103" s="393"/>
      <c r="E103" s="394"/>
      <c r="F103" s="394"/>
      <c r="G103" s="394"/>
      <c r="H103" s="394"/>
      <c r="I103" s="370"/>
      <c r="J103" s="391">
        <f>IF(OR(Report!$G$4=C103,Report!$H$4=C103),1,0)</f>
        <v>0</v>
      </c>
      <c r="K103" s="366">
        <f>SUM($J$25:J103)</f>
        <v>2</v>
      </c>
    </row>
    <row r="104" spans="1:11" ht="14.5" x14ac:dyDescent="0.35">
      <c r="A104" s="29" t="str">
        <f>IF(OR(C104&gt;Report!$H$4,C104&lt;Report!$G$4),"",IF(OR(J104*K104=1,K104-J104=1),'!'!$GJ$14,""))</f>
        <v/>
      </c>
      <c r="B104" s="366">
        <f>IF(A104="",0,COUNTIF($A$25:$A104,'!'!$GJ$14))</f>
        <v>0</v>
      </c>
      <c r="C104" s="392"/>
      <c r="D104" s="393"/>
      <c r="E104" s="394"/>
      <c r="F104" s="394"/>
      <c r="G104" s="394"/>
      <c r="H104" s="394"/>
      <c r="I104" s="370"/>
      <c r="J104" s="391">
        <f>IF(OR(Report!$G$4=C104,Report!$H$4=C104),1,0)</f>
        <v>0</v>
      </c>
      <c r="K104" s="366">
        <f>SUM($J$25:J104)</f>
        <v>2</v>
      </c>
    </row>
    <row r="105" spans="1:11" ht="14.5" x14ac:dyDescent="0.35">
      <c r="A105" s="29" t="str">
        <f>IF(OR(C105&gt;Report!$H$4,C105&lt;Report!$G$4),"",IF(OR(J105*K105=1,K105-J105=1),'!'!$GJ$14,""))</f>
        <v/>
      </c>
      <c r="B105" s="366">
        <f>IF(A105="",0,COUNTIF($A$25:$A105,'!'!$GJ$14))</f>
        <v>0</v>
      </c>
      <c r="C105" s="392"/>
      <c r="D105" s="393"/>
      <c r="E105" s="394"/>
      <c r="F105" s="394"/>
      <c r="G105" s="394"/>
      <c r="H105" s="394"/>
      <c r="I105" s="370"/>
      <c r="J105" s="391">
        <f>IF(OR(Report!$G$4=C105,Report!$H$4=C105),1,0)</f>
        <v>0</v>
      </c>
      <c r="K105" s="366">
        <f>SUM($J$25:J105)</f>
        <v>2</v>
      </c>
    </row>
    <row r="106" spans="1:11" ht="14.5" x14ac:dyDescent="0.35">
      <c r="A106" s="29" t="str">
        <f>IF(OR(C106&gt;Report!$H$4,C106&lt;Report!$G$4),"",IF(OR(J106*K106=1,K106-J106=1),'!'!$GJ$14,""))</f>
        <v/>
      </c>
      <c r="B106" s="366">
        <f>IF(A106="",0,COUNTIF($A$25:$A106,'!'!$GJ$14))</f>
        <v>0</v>
      </c>
      <c r="C106" s="392"/>
      <c r="D106" s="393"/>
      <c r="E106" s="394"/>
      <c r="F106" s="394"/>
      <c r="G106" s="394"/>
      <c r="H106" s="394"/>
      <c r="I106" s="370"/>
      <c r="J106" s="391">
        <f>IF(OR(Report!$G$4=C106,Report!$H$4=C106),1,0)</f>
        <v>0</v>
      </c>
      <c r="K106" s="366">
        <f>SUM($J$25:J106)</f>
        <v>2</v>
      </c>
    </row>
    <row r="107" spans="1:11" ht="14.5" x14ac:dyDescent="0.35">
      <c r="A107" s="29" t="str">
        <f>IF(OR(C107&gt;Report!$H$4,C107&lt;Report!$G$4),"",IF(OR(J107*K107=1,K107-J107=1),'!'!$GJ$14,""))</f>
        <v/>
      </c>
      <c r="B107" s="366">
        <f>IF(A107="",0,COUNTIF($A$25:$A107,'!'!$GJ$14))</f>
        <v>0</v>
      </c>
      <c r="C107" s="392"/>
      <c r="D107" s="393"/>
      <c r="E107" s="394"/>
      <c r="F107" s="394"/>
      <c r="G107" s="394"/>
      <c r="H107" s="394"/>
      <c r="I107" s="370"/>
      <c r="J107" s="391">
        <f>IF(OR(Report!$G$4=C107,Report!$H$4=C107),1,0)</f>
        <v>0</v>
      </c>
      <c r="K107" s="366">
        <f>SUM($J$25:J107)</f>
        <v>2</v>
      </c>
    </row>
    <row r="108" spans="1:11" ht="14.5" x14ac:dyDescent="0.35">
      <c r="A108" s="29" t="str">
        <f>IF(OR(C108&gt;Report!$H$4,C108&lt;Report!$G$4),"",IF(OR(J108*K108=1,K108-J108=1),'!'!$GJ$14,""))</f>
        <v/>
      </c>
      <c r="B108" s="366">
        <f>IF(A108="",0,COUNTIF($A$25:$A108,'!'!$GJ$14))</f>
        <v>0</v>
      </c>
      <c r="C108" s="392"/>
      <c r="D108" s="393"/>
      <c r="E108" s="394"/>
      <c r="F108" s="394"/>
      <c r="G108" s="394"/>
      <c r="H108" s="394"/>
      <c r="I108" s="370"/>
      <c r="J108" s="391">
        <f>IF(OR(Report!$G$4=C108,Report!$H$4=C108),1,0)</f>
        <v>0</v>
      </c>
      <c r="K108" s="366">
        <f>SUM($J$25:J108)</f>
        <v>2</v>
      </c>
    </row>
    <row r="109" spans="1:11" ht="14.5" x14ac:dyDescent="0.35">
      <c r="A109" s="29" t="str">
        <f>IF(OR(C109&gt;Report!$H$4,C109&lt;Report!$G$4),"",IF(OR(J109*K109=1,K109-J109=1),'!'!$GJ$14,""))</f>
        <v/>
      </c>
      <c r="B109" s="366">
        <f>IF(A109="",0,COUNTIF($A$25:$A109,'!'!$GJ$14))</f>
        <v>0</v>
      </c>
      <c r="C109" s="392"/>
      <c r="D109" s="393"/>
      <c r="E109" s="394"/>
      <c r="F109" s="394"/>
      <c r="G109" s="394"/>
      <c r="H109" s="394"/>
      <c r="I109" s="370"/>
      <c r="J109" s="391">
        <f>IF(OR(Report!$G$4=C109,Report!$H$4=C109),1,0)</f>
        <v>0</v>
      </c>
      <c r="K109" s="366">
        <f>SUM($J$25:J109)</f>
        <v>2</v>
      </c>
    </row>
    <row r="110" spans="1:11" ht="14.5" x14ac:dyDescent="0.35">
      <c r="A110" s="29" t="str">
        <f>IF(OR(C110&gt;Report!$H$4,C110&lt;Report!$G$4),"",IF(OR(J110*K110=1,K110-J110=1),'!'!$GJ$14,""))</f>
        <v/>
      </c>
      <c r="B110" s="366">
        <f>IF(A110="",0,COUNTIF($A$25:$A110,'!'!$GJ$14))</f>
        <v>0</v>
      </c>
      <c r="C110" s="392"/>
      <c r="D110" s="393"/>
      <c r="E110" s="394"/>
      <c r="F110" s="394"/>
      <c r="G110" s="394"/>
      <c r="H110" s="394"/>
      <c r="I110" s="370"/>
      <c r="J110" s="391">
        <f>IF(OR(Report!$G$4=C110,Report!$H$4=C110),1,0)</f>
        <v>0</v>
      </c>
      <c r="K110" s="366">
        <f>SUM($J$25:J110)</f>
        <v>2</v>
      </c>
    </row>
    <row r="111" spans="1:11" ht="14.5" x14ac:dyDescent="0.35">
      <c r="A111" s="29" t="str">
        <f>IF(OR(C111&gt;Report!$H$4,C111&lt;Report!$G$4),"",IF(OR(J111*K111=1,K111-J111=1),'!'!$GJ$14,""))</f>
        <v/>
      </c>
      <c r="B111" s="366">
        <f>IF(A111="",0,COUNTIF($A$25:$A111,'!'!$GJ$14))</f>
        <v>0</v>
      </c>
      <c r="C111" s="392"/>
      <c r="D111" s="393"/>
      <c r="E111" s="394"/>
      <c r="F111" s="394"/>
      <c r="G111" s="394"/>
      <c r="H111" s="394"/>
      <c r="I111" s="370"/>
      <c r="J111" s="391">
        <f>IF(OR(Report!$G$4=C111,Report!$H$4=C111),1,0)</f>
        <v>0</v>
      </c>
      <c r="K111" s="366">
        <f>SUM($J$25:J111)</f>
        <v>2</v>
      </c>
    </row>
    <row r="112" spans="1:11" ht="14.5" x14ac:dyDescent="0.35">
      <c r="A112" s="29" t="str">
        <f>IF(OR(C112&gt;Report!$H$4,C112&lt;Report!$G$4),"",IF(OR(J112*K112=1,K112-J112=1),'!'!$GJ$14,""))</f>
        <v/>
      </c>
      <c r="B112" s="366">
        <f>IF(A112="",0,COUNTIF($A$25:$A112,'!'!$GJ$14))</f>
        <v>0</v>
      </c>
      <c r="C112" s="392"/>
      <c r="D112" s="393"/>
      <c r="E112" s="394"/>
      <c r="F112" s="394"/>
      <c r="G112" s="394"/>
      <c r="H112" s="394"/>
      <c r="I112" s="370"/>
      <c r="J112" s="391">
        <f>IF(OR(Report!$G$4=C112,Report!$H$4=C112),1,0)</f>
        <v>0</v>
      </c>
      <c r="K112" s="366">
        <f>SUM($J$25:J112)</f>
        <v>2</v>
      </c>
    </row>
    <row r="113" spans="1:11" ht="14.5" x14ac:dyDescent="0.35">
      <c r="A113" s="29" t="str">
        <f>IF(OR(C113&gt;Report!$H$4,C113&lt;Report!$G$4),"",IF(OR(J113*K113=1,K113-J113=1),'!'!$GJ$14,""))</f>
        <v/>
      </c>
      <c r="B113" s="366">
        <f>IF(A113="",0,COUNTIF($A$25:$A113,'!'!$GJ$14))</f>
        <v>0</v>
      </c>
      <c r="C113" s="392"/>
      <c r="D113" s="393"/>
      <c r="E113" s="394"/>
      <c r="F113" s="394"/>
      <c r="G113" s="394"/>
      <c r="H113" s="394"/>
      <c r="I113" s="370"/>
      <c r="J113" s="391">
        <f>IF(OR(Report!$G$4=C113,Report!$H$4=C113),1,0)</f>
        <v>0</v>
      </c>
      <c r="K113" s="366">
        <f>SUM($J$25:J113)</f>
        <v>2</v>
      </c>
    </row>
    <row r="114" spans="1:11" ht="14.5" x14ac:dyDescent="0.35">
      <c r="A114" s="29" t="str">
        <f>IF(OR(C114&gt;Report!$H$4,C114&lt;Report!$G$4),"",IF(OR(J114*K114=1,K114-J114=1),'!'!$GJ$14,""))</f>
        <v/>
      </c>
      <c r="B114" s="366">
        <f>IF(A114="",0,COUNTIF($A$25:$A114,'!'!$GJ$14))</f>
        <v>0</v>
      </c>
      <c r="C114" s="392"/>
      <c r="D114" s="393"/>
      <c r="E114" s="394"/>
      <c r="F114" s="394"/>
      <c r="G114" s="394"/>
      <c r="H114" s="394"/>
      <c r="I114" s="370"/>
      <c r="J114" s="391">
        <f>IF(OR(Report!$G$4=C114,Report!$H$4=C114),1,0)</f>
        <v>0</v>
      </c>
      <c r="K114" s="366">
        <f>SUM($J$25:J114)</f>
        <v>2</v>
      </c>
    </row>
    <row r="115" spans="1:11" ht="14.5" x14ac:dyDescent="0.35">
      <c r="A115" s="29" t="str">
        <f>IF(OR(C115&gt;Report!$H$4,C115&lt;Report!$G$4),"",IF(OR(J115*K115=1,K115-J115=1),'!'!$GJ$14,""))</f>
        <v/>
      </c>
      <c r="B115" s="366">
        <f>IF(A115="",0,COUNTIF($A$25:$A115,'!'!$GJ$14))</f>
        <v>0</v>
      </c>
      <c r="C115" s="392"/>
      <c r="D115" s="393"/>
      <c r="E115" s="394"/>
      <c r="F115" s="394"/>
      <c r="G115" s="394"/>
      <c r="H115" s="394"/>
      <c r="I115" s="370"/>
      <c r="J115" s="391">
        <f>IF(OR(Report!$G$4=C115,Report!$H$4=C115),1,0)</f>
        <v>0</v>
      </c>
      <c r="K115" s="366">
        <f>SUM($J$25:J115)</f>
        <v>2</v>
      </c>
    </row>
    <row r="116" spans="1:11" ht="14.5" x14ac:dyDescent="0.35">
      <c r="A116" s="29" t="str">
        <f>IF(OR(C116&gt;Report!$H$4,C116&lt;Report!$G$4),"",IF(OR(J116*K116=1,K116-J116=1),'!'!$GJ$14,""))</f>
        <v/>
      </c>
      <c r="B116" s="366">
        <f>IF(A116="",0,COUNTIF($A$25:$A116,'!'!$GJ$14))</f>
        <v>0</v>
      </c>
      <c r="C116" s="392"/>
      <c r="D116" s="393"/>
      <c r="E116" s="394"/>
      <c r="F116" s="394"/>
      <c r="G116" s="394"/>
      <c r="H116" s="394"/>
      <c r="I116" s="370"/>
      <c r="J116" s="391">
        <f>IF(OR(Report!$G$4=C116,Report!$H$4=C116),1,0)</f>
        <v>0</v>
      </c>
      <c r="K116" s="366">
        <f>SUM($J$25:J116)</f>
        <v>2</v>
      </c>
    </row>
    <row r="117" spans="1:11" ht="14.5" x14ac:dyDescent="0.35">
      <c r="A117" s="29" t="str">
        <f>IF(OR(C117&gt;Report!$H$4,C117&lt;Report!$G$4),"",IF(OR(J117*K117=1,K117-J117=1),'!'!$GJ$14,""))</f>
        <v/>
      </c>
      <c r="B117" s="366">
        <f>IF(A117="",0,COUNTIF($A$25:$A117,'!'!$GJ$14))</f>
        <v>0</v>
      </c>
      <c r="C117" s="392"/>
      <c r="D117" s="393"/>
      <c r="E117" s="394"/>
      <c r="F117" s="394"/>
      <c r="G117" s="394"/>
      <c r="H117" s="394"/>
      <c r="I117" s="370"/>
      <c r="J117" s="391">
        <f>IF(OR(Report!$G$4=C117,Report!$H$4=C117),1,0)</f>
        <v>0</v>
      </c>
      <c r="K117" s="366">
        <f>SUM($J$25:J117)</f>
        <v>2</v>
      </c>
    </row>
    <row r="118" spans="1:11" ht="14.5" x14ac:dyDescent="0.35">
      <c r="A118" s="29" t="str">
        <f>IF(OR(C118&gt;Report!$H$4,C118&lt;Report!$G$4),"",IF(OR(J118*K118=1,K118-J118=1),'!'!$GJ$14,""))</f>
        <v/>
      </c>
      <c r="B118" s="366">
        <f>IF(A118="",0,COUNTIF($A$25:$A118,'!'!$GJ$14))</f>
        <v>0</v>
      </c>
      <c r="C118" s="392"/>
      <c r="D118" s="393"/>
      <c r="E118" s="394"/>
      <c r="F118" s="394"/>
      <c r="G118" s="394"/>
      <c r="H118" s="394"/>
      <c r="I118" s="370"/>
      <c r="J118" s="391">
        <f>IF(OR(Report!$G$4=C118,Report!$H$4=C118),1,0)</f>
        <v>0</v>
      </c>
      <c r="K118" s="366">
        <f>SUM($J$25:J118)</f>
        <v>2</v>
      </c>
    </row>
    <row r="119" spans="1:11" ht="14.5" x14ac:dyDescent="0.35">
      <c r="A119" s="29" t="str">
        <f>IF(OR(C119&gt;Report!$H$4,C119&lt;Report!$G$4),"",IF(OR(J119*K119=1,K119-J119=1),'!'!$GJ$14,""))</f>
        <v/>
      </c>
      <c r="B119" s="366">
        <f>IF(A119="",0,COUNTIF($A$25:$A119,'!'!$GJ$14))</f>
        <v>0</v>
      </c>
      <c r="C119" s="392"/>
      <c r="D119" s="393"/>
      <c r="E119" s="394"/>
      <c r="F119" s="394"/>
      <c r="G119" s="394"/>
      <c r="H119" s="394"/>
      <c r="I119" s="370"/>
      <c r="J119" s="391">
        <f>IF(OR(Report!$G$4=C119,Report!$H$4=C119),1,0)</f>
        <v>0</v>
      </c>
      <c r="K119" s="366">
        <f>SUM($J$25:J119)</f>
        <v>2</v>
      </c>
    </row>
    <row r="120" spans="1:11" ht="14.5" x14ac:dyDescent="0.35">
      <c r="A120" s="29" t="str">
        <f>IF(OR(C120&gt;Report!$H$4,C120&lt;Report!$G$4),"",IF(OR(J120*K120=1,K120-J120=1),'!'!$GJ$14,""))</f>
        <v/>
      </c>
      <c r="B120" s="366">
        <f>IF(A120="",0,COUNTIF($A$25:$A120,'!'!$GJ$14))</f>
        <v>0</v>
      </c>
      <c r="C120" s="392"/>
      <c r="D120" s="393"/>
      <c r="E120" s="394"/>
      <c r="F120" s="394"/>
      <c r="G120" s="394"/>
      <c r="H120" s="394"/>
      <c r="I120" s="370"/>
      <c r="J120" s="391">
        <f>IF(OR(Report!$G$4=C120,Report!$H$4=C120),1,0)</f>
        <v>0</v>
      </c>
      <c r="K120" s="366">
        <f>SUM($J$25:J120)</f>
        <v>2</v>
      </c>
    </row>
    <row r="121" spans="1:11" ht="14.5" x14ac:dyDescent="0.35">
      <c r="A121" s="29" t="str">
        <f>IF(OR(C121&gt;Report!$H$4,C121&lt;Report!$G$4),"",IF(OR(J121*K121=1,K121-J121=1),'!'!$GJ$14,""))</f>
        <v/>
      </c>
      <c r="B121" s="366">
        <f>IF(A121="",0,COUNTIF($A$25:$A121,'!'!$GJ$14))</f>
        <v>0</v>
      </c>
      <c r="C121" s="392"/>
      <c r="D121" s="393"/>
      <c r="E121" s="394"/>
      <c r="F121" s="394"/>
      <c r="G121" s="394"/>
      <c r="H121" s="394"/>
      <c r="I121" s="370"/>
      <c r="J121" s="391">
        <f>IF(OR(Report!$G$4=C121,Report!$H$4=C121),1,0)</f>
        <v>0</v>
      </c>
      <c r="K121" s="366">
        <f>SUM($J$25:J121)</f>
        <v>2</v>
      </c>
    </row>
    <row r="122" spans="1:11" ht="14.5" x14ac:dyDescent="0.35">
      <c r="A122" s="29" t="str">
        <f>IF(OR(C122&gt;Report!$H$4,C122&lt;Report!$G$4),"",IF(OR(J122*K122=1,K122-J122=1),'!'!$GJ$14,""))</f>
        <v/>
      </c>
      <c r="B122" s="366">
        <f>IF(A122="",0,COUNTIF($A$25:$A122,'!'!$GJ$14))</f>
        <v>0</v>
      </c>
      <c r="C122" s="392"/>
      <c r="D122" s="393"/>
      <c r="E122" s="394"/>
      <c r="F122" s="394"/>
      <c r="G122" s="394"/>
      <c r="H122" s="394"/>
      <c r="I122" s="370"/>
      <c r="J122" s="391">
        <f>IF(OR(Report!$G$4=C122,Report!$H$4=C122),1,0)</f>
        <v>0</v>
      </c>
      <c r="K122" s="366">
        <f>SUM($J$25:J122)</f>
        <v>2</v>
      </c>
    </row>
    <row r="123" spans="1:11" ht="14.5" x14ac:dyDescent="0.35">
      <c r="A123" s="29" t="str">
        <f>IF(OR(C123&gt;Report!$H$4,C123&lt;Report!$G$4),"",IF(OR(J123*K123=1,K123-J123=1),'!'!$GJ$14,""))</f>
        <v/>
      </c>
      <c r="B123" s="366">
        <f>IF(A123="",0,COUNTIF($A$25:$A123,'!'!$GJ$14))</f>
        <v>0</v>
      </c>
      <c r="C123" s="392"/>
      <c r="D123" s="393"/>
      <c r="E123" s="394"/>
      <c r="F123" s="394"/>
      <c r="G123" s="394"/>
      <c r="H123" s="394"/>
      <c r="I123" s="370"/>
      <c r="J123" s="391">
        <f>IF(OR(Report!$G$4=C123,Report!$H$4=C123),1,0)</f>
        <v>0</v>
      </c>
      <c r="K123" s="366">
        <f>SUM($J$25:J123)</f>
        <v>2</v>
      </c>
    </row>
    <row r="124" spans="1:11" ht="14.5" x14ac:dyDescent="0.35">
      <c r="A124" s="29" t="str">
        <f>IF(OR(C124&gt;Report!$H$4,C124&lt;Report!$G$4),"",IF(OR(J124*K124=1,K124-J124=1),'!'!$GJ$14,""))</f>
        <v/>
      </c>
      <c r="B124" s="366">
        <f>IF(A124="",0,COUNTIF($A$25:$A124,'!'!$GJ$14))</f>
        <v>0</v>
      </c>
      <c r="C124" s="392"/>
      <c r="D124" s="393"/>
      <c r="E124" s="394"/>
      <c r="F124" s="394"/>
      <c r="G124" s="394"/>
      <c r="H124" s="394"/>
      <c r="I124" s="370"/>
      <c r="J124" s="391">
        <f>IF(OR(Report!$G$4=C124,Report!$H$4=C124),1,0)</f>
        <v>0</v>
      </c>
      <c r="K124" s="366">
        <f>SUM($J$25:J124)</f>
        <v>2</v>
      </c>
    </row>
    <row r="125" spans="1:11" ht="14.5" x14ac:dyDescent="0.35">
      <c r="A125" s="29" t="str">
        <f>IF(OR(C125&gt;Report!$H$4,C125&lt;Report!$G$4),"",IF(OR(J125*K125=1,K125-J125=1),'!'!$GJ$14,""))</f>
        <v/>
      </c>
      <c r="B125" s="366">
        <f>IF(A125="",0,COUNTIF($A$25:$A125,'!'!$GJ$14))</f>
        <v>0</v>
      </c>
      <c r="C125" s="392"/>
      <c r="D125" s="393"/>
      <c r="E125" s="394"/>
      <c r="F125" s="394"/>
      <c r="G125" s="394"/>
      <c r="H125" s="394"/>
      <c r="I125" s="370"/>
      <c r="J125" s="391">
        <f>IF(OR(Report!$G$4=C125,Report!$H$4=C125),1,0)</f>
        <v>0</v>
      </c>
      <c r="K125" s="366">
        <f>SUM($J$25:J125)</f>
        <v>2</v>
      </c>
    </row>
    <row r="126" spans="1:11" ht="14.5" x14ac:dyDescent="0.35">
      <c r="A126" s="29" t="str">
        <f>IF(OR(C126&gt;Report!$H$4,C126&lt;Report!$G$4),"",IF(OR(J126*K126=1,K126-J126=1),'!'!$GJ$14,""))</f>
        <v/>
      </c>
      <c r="B126" s="366">
        <f>IF(A126="",0,COUNTIF($A$25:$A126,'!'!$GJ$14))</f>
        <v>0</v>
      </c>
      <c r="C126" s="392"/>
      <c r="D126" s="393"/>
      <c r="E126" s="394"/>
      <c r="F126" s="394"/>
      <c r="G126" s="394"/>
      <c r="H126" s="394"/>
      <c r="I126" s="370"/>
      <c r="J126" s="391">
        <f>IF(OR(Report!$G$4=C126,Report!$H$4=C126),1,0)</f>
        <v>0</v>
      </c>
      <c r="K126" s="366">
        <f>SUM($J$25:J126)</f>
        <v>2</v>
      </c>
    </row>
    <row r="127" spans="1:11" ht="14.5" x14ac:dyDescent="0.35">
      <c r="A127" s="29" t="str">
        <f>IF(OR(C127&gt;Report!$H$4,C127&lt;Report!$G$4),"",IF(OR(J127*K127=1,K127-J127=1),'!'!$GJ$14,""))</f>
        <v/>
      </c>
      <c r="B127" s="366">
        <f>IF(A127="",0,COUNTIF($A$25:$A127,'!'!$GJ$14))</f>
        <v>0</v>
      </c>
      <c r="C127" s="392"/>
      <c r="D127" s="393"/>
      <c r="E127" s="394"/>
      <c r="F127" s="394"/>
      <c r="G127" s="394"/>
      <c r="H127" s="394"/>
      <c r="I127" s="370"/>
      <c r="J127" s="391">
        <f>IF(OR(Report!$G$4=C127,Report!$H$4=C127),1,0)</f>
        <v>0</v>
      </c>
      <c r="K127" s="366">
        <f>SUM($J$25:J127)</f>
        <v>2</v>
      </c>
    </row>
    <row r="128" spans="1:11" ht="14.5" x14ac:dyDescent="0.35">
      <c r="A128" s="29" t="str">
        <f>IF(OR(C128&gt;Report!$H$4,C128&lt;Report!$G$4),"",IF(OR(J128*K128=1,K128-J128=1),'!'!$GJ$14,""))</f>
        <v/>
      </c>
      <c r="B128" s="366">
        <f>IF(A128="",0,COUNTIF($A$25:$A128,'!'!$GJ$14))</f>
        <v>0</v>
      </c>
      <c r="C128" s="392"/>
      <c r="D128" s="393"/>
      <c r="E128" s="394"/>
      <c r="F128" s="394"/>
      <c r="G128" s="394"/>
      <c r="H128" s="394"/>
      <c r="I128" s="370"/>
      <c r="J128" s="391">
        <f>IF(OR(Report!$G$4=C128,Report!$H$4=C128),1,0)</f>
        <v>0</v>
      </c>
      <c r="K128" s="366">
        <f>SUM($J$25:J128)</f>
        <v>2</v>
      </c>
    </row>
    <row r="129" spans="1:11" ht="14.5" x14ac:dyDescent="0.35">
      <c r="A129" s="29" t="str">
        <f>IF(OR(C129&gt;Report!$H$4,C129&lt;Report!$G$4),"",IF(OR(J129*K129=1,K129-J129=1),'!'!$GJ$14,""))</f>
        <v/>
      </c>
      <c r="B129" s="366">
        <f>IF(A129="",0,COUNTIF($A$25:$A129,'!'!$GJ$14))</f>
        <v>0</v>
      </c>
      <c r="C129" s="392"/>
      <c r="D129" s="393"/>
      <c r="E129" s="394"/>
      <c r="F129" s="394"/>
      <c r="G129" s="394"/>
      <c r="H129" s="394"/>
      <c r="I129" s="370"/>
      <c r="J129" s="391">
        <f>IF(OR(Report!$G$4=C129,Report!$H$4=C129),1,0)</f>
        <v>0</v>
      </c>
      <c r="K129" s="366">
        <f>SUM($J$25:J129)</f>
        <v>2</v>
      </c>
    </row>
    <row r="130" spans="1:11" ht="14.5" x14ac:dyDescent="0.35">
      <c r="A130" s="29" t="str">
        <f>IF(OR(C130&gt;Report!$H$4,C130&lt;Report!$G$4),"",IF(OR(J130*K130=1,K130-J130=1),'!'!$GJ$14,""))</f>
        <v/>
      </c>
      <c r="B130" s="366">
        <f>IF(A130="",0,COUNTIF($A$25:$A130,'!'!$GJ$14))</f>
        <v>0</v>
      </c>
      <c r="C130" s="392"/>
      <c r="D130" s="393"/>
      <c r="E130" s="394"/>
      <c r="F130" s="394"/>
      <c r="G130" s="394"/>
      <c r="H130" s="394"/>
      <c r="I130" s="370"/>
      <c r="J130" s="391">
        <f>IF(OR(Report!$G$4=C130,Report!$H$4=C130),1,0)</f>
        <v>0</v>
      </c>
      <c r="K130" s="366">
        <f>SUM($J$25:J130)</f>
        <v>2</v>
      </c>
    </row>
    <row r="131" spans="1:11" ht="14.5" x14ac:dyDescent="0.35">
      <c r="A131" s="29" t="str">
        <f>IF(OR(C131&gt;Report!$H$4,C131&lt;Report!$G$4),"",IF(OR(J131*K131=1,K131-J131=1),'!'!$GJ$14,""))</f>
        <v/>
      </c>
      <c r="B131" s="366">
        <f>IF(A131="",0,COUNTIF($A$25:$A131,'!'!$GJ$14))</f>
        <v>0</v>
      </c>
      <c r="C131" s="392"/>
      <c r="D131" s="393"/>
      <c r="E131" s="394"/>
      <c r="F131" s="394"/>
      <c r="G131" s="394"/>
      <c r="H131" s="394"/>
      <c r="I131" s="370"/>
      <c r="J131" s="391">
        <f>IF(OR(Report!$G$4=C131,Report!$H$4=C131),1,0)</f>
        <v>0</v>
      </c>
      <c r="K131" s="366">
        <f>SUM($J$25:J131)</f>
        <v>2</v>
      </c>
    </row>
    <row r="132" spans="1:11" ht="14.5" x14ac:dyDescent="0.35">
      <c r="A132" s="29" t="str">
        <f>IF(OR(C132&gt;Report!$H$4,C132&lt;Report!$G$4),"",IF(OR(J132*K132=1,K132-J132=1),'!'!$GJ$14,""))</f>
        <v/>
      </c>
      <c r="B132" s="366">
        <f>IF(A132="",0,COUNTIF($A$25:$A132,'!'!$GJ$14))</f>
        <v>0</v>
      </c>
      <c r="C132" s="392"/>
      <c r="D132" s="393"/>
      <c r="E132" s="394"/>
      <c r="F132" s="394"/>
      <c r="G132" s="394"/>
      <c r="H132" s="394"/>
      <c r="I132" s="370"/>
      <c r="J132" s="391">
        <f>IF(OR(Report!$G$4=C132,Report!$H$4=C132),1,0)</f>
        <v>0</v>
      </c>
      <c r="K132" s="366">
        <f>SUM($J$25:J132)</f>
        <v>2</v>
      </c>
    </row>
    <row r="133" spans="1:11" ht="14.5" x14ac:dyDescent="0.35">
      <c r="A133" s="29" t="str">
        <f>IF(OR(C133&gt;Report!$H$4,C133&lt;Report!$G$4),"",IF(OR(J133*K133=1,K133-J133=1),'!'!$GJ$14,""))</f>
        <v/>
      </c>
      <c r="B133" s="366">
        <f>IF(A133="",0,COUNTIF($A$25:$A133,'!'!$GJ$14))</f>
        <v>0</v>
      </c>
      <c r="C133" s="392"/>
      <c r="D133" s="393"/>
      <c r="E133" s="394"/>
      <c r="F133" s="394"/>
      <c r="G133" s="394"/>
      <c r="H133" s="394"/>
      <c r="I133" s="370"/>
      <c r="J133" s="391">
        <f>IF(OR(Report!$G$4=C133,Report!$H$4=C133),1,0)</f>
        <v>0</v>
      </c>
      <c r="K133" s="366">
        <f>SUM($J$25:J133)</f>
        <v>2</v>
      </c>
    </row>
    <row r="134" spans="1:11" ht="14.5" x14ac:dyDescent="0.35">
      <c r="A134" s="29" t="str">
        <f>IF(OR(C134&gt;Report!$H$4,C134&lt;Report!$G$4),"",IF(OR(J134*K134=1,K134-J134=1),'!'!$GJ$14,""))</f>
        <v/>
      </c>
      <c r="B134" s="366">
        <f>IF(A134="",0,COUNTIF($A$25:$A134,'!'!$GJ$14))</f>
        <v>0</v>
      </c>
      <c r="C134" s="392"/>
      <c r="D134" s="393"/>
      <c r="E134" s="394"/>
      <c r="F134" s="394"/>
      <c r="G134" s="394"/>
      <c r="H134" s="394"/>
      <c r="I134" s="370"/>
      <c r="J134" s="391">
        <f>IF(OR(Report!$G$4=C134,Report!$H$4=C134),1,0)</f>
        <v>0</v>
      </c>
      <c r="K134" s="366">
        <f>SUM($J$25:J134)</f>
        <v>2</v>
      </c>
    </row>
    <row r="135" spans="1:11" ht="14.5" x14ac:dyDescent="0.35">
      <c r="A135" s="29" t="str">
        <f>IF(OR(C135&gt;Report!$H$4,C135&lt;Report!$G$4),"",IF(OR(J135*K135=1,K135-J135=1),'!'!$GJ$14,""))</f>
        <v/>
      </c>
      <c r="B135" s="366">
        <f>IF(A135="",0,COUNTIF($A$25:$A135,'!'!$GJ$14))</f>
        <v>0</v>
      </c>
      <c r="C135" s="392"/>
      <c r="D135" s="393"/>
      <c r="E135" s="394"/>
      <c r="F135" s="394"/>
      <c r="G135" s="394"/>
      <c r="H135" s="394"/>
      <c r="I135" s="370"/>
      <c r="J135" s="391">
        <f>IF(OR(Report!$G$4=C135,Report!$H$4=C135),1,0)</f>
        <v>0</v>
      </c>
      <c r="K135" s="366">
        <f>SUM($J$25:J135)</f>
        <v>2</v>
      </c>
    </row>
    <row r="136" spans="1:11" ht="14.5" x14ac:dyDescent="0.35">
      <c r="A136" s="29" t="str">
        <f>IF(OR(C136&gt;Report!$H$4,C136&lt;Report!$G$4),"",IF(OR(J136*K136=1,K136-J136=1),'!'!$GJ$14,""))</f>
        <v/>
      </c>
      <c r="B136" s="366">
        <f>IF(A136="",0,COUNTIF($A$25:$A136,'!'!$GJ$14))</f>
        <v>0</v>
      </c>
      <c r="C136" s="392"/>
      <c r="D136" s="393"/>
      <c r="E136" s="394"/>
      <c r="F136" s="394"/>
      <c r="G136" s="394"/>
      <c r="H136" s="394"/>
      <c r="I136" s="370"/>
      <c r="J136" s="391">
        <f>IF(OR(Report!$G$4=C136,Report!$H$4=C136),1,0)</f>
        <v>0</v>
      </c>
      <c r="K136" s="366">
        <f>SUM($J$25:J136)</f>
        <v>2</v>
      </c>
    </row>
    <row r="137" spans="1:11" ht="14.5" x14ac:dyDescent="0.35">
      <c r="A137" s="29" t="str">
        <f>IF(OR(C137&gt;Report!$H$4,C137&lt;Report!$G$4),"",IF(OR(J137*K137=1,K137-J137=1),'!'!$GJ$14,""))</f>
        <v/>
      </c>
      <c r="B137" s="366">
        <f>IF(A137="",0,COUNTIF($A$25:$A137,'!'!$GJ$14))</f>
        <v>0</v>
      </c>
      <c r="C137" s="392"/>
      <c r="D137" s="393"/>
      <c r="E137" s="394"/>
      <c r="F137" s="394"/>
      <c r="G137" s="394"/>
      <c r="H137" s="394"/>
      <c r="I137" s="370"/>
      <c r="J137" s="391">
        <f>IF(OR(Report!$G$4=C137,Report!$H$4=C137),1,0)</f>
        <v>0</v>
      </c>
      <c r="K137" s="366">
        <f>SUM($J$25:J137)</f>
        <v>2</v>
      </c>
    </row>
    <row r="138" spans="1:11" ht="14.5" x14ac:dyDescent="0.35">
      <c r="A138" s="29" t="str">
        <f>IF(OR(C138&gt;Report!$H$4,C138&lt;Report!$G$4),"",IF(OR(J138*K138=1,K138-J138=1),'!'!$GJ$14,""))</f>
        <v/>
      </c>
      <c r="B138" s="366">
        <f>IF(A138="",0,COUNTIF($A$25:$A138,'!'!$GJ$14))</f>
        <v>0</v>
      </c>
      <c r="C138" s="392"/>
      <c r="D138" s="393"/>
      <c r="E138" s="394"/>
      <c r="F138" s="394"/>
      <c r="G138" s="394"/>
      <c r="H138" s="394"/>
      <c r="I138" s="370"/>
      <c r="J138" s="391">
        <f>IF(OR(Report!$G$4=C138,Report!$H$4=C138),1,0)</f>
        <v>0</v>
      </c>
      <c r="K138" s="366">
        <f>SUM($J$25:J138)</f>
        <v>2</v>
      </c>
    </row>
    <row r="139" spans="1:11" ht="14.5" x14ac:dyDescent="0.35">
      <c r="A139" s="29" t="str">
        <f>IF(OR(C139&gt;Report!$H$4,C139&lt;Report!$G$4),"",IF(OR(J139*K139=1,K139-J139=1),'!'!$GJ$14,""))</f>
        <v/>
      </c>
      <c r="B139" s="366">
        <f>IF(A139="",0,COUNTIF($A$25:$A139,'!'!$GJ$14))</f>
        <v>0</v>
      </c>
      <c r="C139" s="392"/>
      <c r="D139" s="393"/>
      <c r="E139" s="394"/>
      <c r="F139" s="394"/>
      <c r="G139" s="394"/>
      <c r="H139" s="394"/>
      <c r="I139" s="370"/>
      <c r="J139" s="391">
        <f>IF(OR(Report!$G$4=C139,Report!$H$4=C139),1,0)</f>
        <v>0</v>
      </c>
      <c r="K139" s="366">
        <f>SUM($J$25:J139)</f>
        <v>2</v>
      </c>
    </row>
    <row r="140" spans="1:11" ht="14.5" x14ac:dyDescent="0.35">
      <c r="A140" s="29" t="str">
        <f>IF(OR(C140&gt;Report!$H$4,C140&lt;Report!$G$4),"",IF(OR(J140*K140=1,K140-J140=1),'!'!$GJ$14,""))</f>
        <v/>
      </c>
      <c r="B140" s="366">
        <f>IF(A140="",0,COUNTIF($A$25:$A140,'!'!$GJ$14))</f>
        <v>0</v>
      </c>
      <c r="C140" s="392"/>
      <c r="D140" s="393"/>
      <c r="E140" s="394"/>
      <c r="F140" s="394"/>
      <c r="G140" s="394"/>
      <c r="H140" s="394"/>
      <c r="I140" s="370"/>
      <c r="J140" s="391">
        <f>IF(OR(Report!$G$4=C140,Report!$H$4=C140),1,0)</f>
        <v>0</v>
      </c>
      <c r="K140" s="366">
        <f>SUM($J$25:J140)</f>
        <v>2</v>
      </c>
    </row>
    <row r="141" spans="1:11" ht="14.5" x14ac:dyDescent="0.35">
      <c r="A141" s="29" t="str">
        <f>IF(OR(C141&gt;Report!$H$4,C141&lt;Report!$G$4),"",IF(OR(J141*K141=1,K141-J141=1),'!'!$GJ$14,""))</f>
        <v/>
      </c>
      <c r="B141" s="366">
        <f>IF(A141="",0,COUNTIF($A$25:$A141,'!'!$GJ$14))</f>
        <v>0</v>
      </c>
      <c r="C141" s="392"/>
      <c r="D141" s="393"/>
      <c r="E141" s="394"/>
      <c r="F141" s="394"/>
      <c r="G141" s="394"/>
      <c r="H141" s="394"/>
      <c r="I141" s="370"/>
      <c r="J141" s="391">
        <f>IF(OR(Report!$G$4=C141,Report!$H$4=C141),1,0)</f>
        <v>0</v>
      </c>
      <c r="K141" s="366">
        <f>SUM($J$25:J141)</f>
        <v>2</v>
      </c>
    </row>
    <row r="142" spans="1:11" ht="14.5" x14ac:dyDescent="0.35">
      <c r="A142" s="29" t="str">
        <f>IF(OR(C142&gt;Report!$H$4,C142&lt;Report!$G$4),"",IF(OR(J142*K142=1,K142-J142=1),'!'!$GJ$14,""))</f>
        <v/>
      </c>
      <c r="B142" s="366">
        <f>IF(A142="",0,COUNTIF($A$25:$A142,'!'!$GJ$14))</f>
        <v>0</v>
      </c>
      <c r="C142" s="392"/>
      <c r="D142" s="393"/>
      <c r="E142" s="394"/>
      <c r="F142" s="394"/>
      <c r="G142" s="394"/>
      <c r="H142" s="394"/>
      <c r="I142" s="370"/>
      <c r="J142" s="391">
        <f>IF(OR(Report!$G$4=C142,Report!$H$4=C142),1,0)</f>
        <v>0</v>
      </c>
      <c r="K142" s="366">
        <f>SUM($J$25:J142)</f>
        <v>2</v>
      </c>
    </row>
    <row r="143" spans="1:11" ht="14.5" x14ac:dyDescent="0.35">
      <c r="A143" s="29" t="str">
        <f>IF(OR(C143&gt;Report!$H$4,C143&lt;Report!$G$4),"",IF(OR(J143*K143=1,K143-J143=1),'!'!$GJ$14,""))</f>
        <v/>
      </c>
      <c r="B143" s="366">
        <f>IF(A143="",0,COUNTIF($A$25:$A143,'!'!$GJ$14))</f>
        <v>0</v>
      </c>
      <c r="C143" s="392"/>
      <c r="D143" s="393"/>
      <c r="E143" s="394"/>
      <c r="F143" s="394"/>
      <c r="G143" s="394"/>
      <c r="H143" s="394"/>
      <c r="I143" s="370"/>
      <c r="J143" s="391">
        <f>IF(OR(Report!$G$4=C143,Report!$H$4=C143),1,0)</f>
        <v>0</v>
      </c>
      <c r="K143" s="366">
        <f>SUM($J$25:J143)</f>
        <v>2</v>
      </c>
    </row>
    <row r="144" spans="1:11" ht="14.5" x14ac:dyDescent="0.35">
      <c r="A144" s="29" t="str">
        <f>IF(OR(C144&gt;Report!$H$4,C144&lt;Report!$G$4),"",IF(OR(J144*K144=1,K144-J144=1),'!'!$GJ$14,""))</f>
        <v/>
      </c>
      <c r="B144" s="366">
        <f>IF(A144="",0,COUNTIF($A$25:$A144,'!'!$GJ$14))</f>
        <v>0</v>
      </c>
      <c r="C144" s="392"/>
      <c r="D144" s="393"/>
      <c r="E144" s="394"/>
      <c r="F144" s="394"/>
      <c r="G144" s="394"/>
      <c r="H144" s="394"/>
      <c r="I144" s="370"/>
      <c r="J144" s="391">
        <f>IF(OR(Report!$G$4=C144,Report!$H$4=C144),1,0)</f>
        <v>0</v>
      </c>
      <c r="K144" s="366">
        <f>SUM($J$25:J144)</f>
        <v>2</v>
      </c>
    </row>
    <row r="145" spans="1:11" ht="14.5" x14ac:dyDescent="0.35">
      <c r="A145" s="29" t="str">
        <f>IF(OR(C145&gt;Report!$H$4,C145&lt;Report!$G$4),"",IF(OR(J145*K145=1,K145-J145=1),'!'!$GJ$14,""))</f>
        <v/>
      </c>
      <c r="B145" s="366">
        <f>IF(A145="",0,COUNTIF($A$25:$A145,'!'!$GJ$14))</f>
        <v>0</v>
      </c>
      <c r="C145" s="392"/>
      <c r="D145" s="393"/>
      <c r="E145" s="394"/>
      <c r="F145" s="394"/>
      <c r="G145" s="394"/>
      <c r="H145" s="394"/>
      <c r="I145" s="370"/>
      <c r="J145" s="391">
        <f>IF(OR(Report!$G$4=C145,Report!$H$4=C145),1,0)</f>
        <v>0</v>
      </c>
      <c r="K145" s="366">
        <f>SUM($J$25:J145)</f>
        <v>2</v>
      </c>
    </row>
    <row r="146" spans="1:11" ht="14.5" x14ac:dyDescent="0.35">
      <c r="A146" s="29" t="str">
        <f>IF(OR(C146&gt;Report!$H$4,C146&lt;Report!$G$4),"",IF(OR(J146*K146=1,K146-J146=1),'!'!$GJ$14,""))</f>
        <v/>
      </c>
      <c r="B146" s="366">
        <f>IF(A146="",0,COUNTIF($A$25:$A146,'!'!$GJ$14))</f>
        <v>0</v>
      </c>
      <c r="C146" s="392"/>
      <c r="D146" s="393"/>
      <c r="E146" s="394"/>
      <c r="F146" s="394"/>
      <c r="G146" s="394"/>
      <c r="H146" s="394"/>
      <c r="I146" s="370"/>
      <c r="J146" s="391">
        <f>IF(OR(Report!$G$4=C146,Report!$H$4=C146),1,0)</f>
        <v>0</v>
      </c>
      <c r="K146" s="366">
        <f>SUM($J$25:J146)</f>
        <v>2</v>
      </c>
    </row>
    <row r="147" spans="1:11" ht="14.5" x14ac:dyDescent="0.35">
      <c r="A147" s="29" t="str">
        <f>IF(OR(C147&gt;Report!$H$4,C147&lt;Report!$G$4),"",IF(OR(J147*K147=1,K147-J147=1),'!'!$GJ$14,""))</f>
        <v/>
      </c>
      <c r="B147" s="366">
        <f>IF(A147="",0,COUNTIF($A$25:$A147,'!'!$GJ$14))</f>
        <v>0</v>
      </c>
      <c r="C147" s="392"/>
      <c r="D147" s="393"/>
      <c r="E147" s="394"/>
      <c r="F147" s="394"/>
      <c r="G147" s="394"/>
      <c r="H147" s="394"/>
      <c r="I147" s="370"/>
      <c r="J147" s="391">
        <f>IF(OR(Report!$G$4=C147,Report!$H$4=C147),1,0)</f>
        <v>0</v>
      </c>
      <c r="K147" s="366">
        <f>SUM($J$25:J147)</f>
        <v>2</v>
      </c>
    </row>
    <row r="148" spans="1:11" ht="14.5" x14ac:dyDescent="0.35">
      <c r="A148" s="29" t="str">
        <f>IF(OR(C148&gt;Report!$H$4,C148&lt;Report!$G$4),"",IF(OR(J148*K148=1,K148-J148=1),'!'!$GJ$14,""))</f>
        <v/>
      </c>
      <c r="B148" s="366">
        <f>IF(A148="",0,COUNTIF($A$25:$A148,'!'!$GJ$14))</f>
        <v>0</v>
      </c>
      <c r="C148" s="392"/>
      <c r="D148" s="393"/>
      <c r="E148" s="394"/>
      <c r="F148" s="394"/>
      <c r="G148" s="394"/>
      <c r="H148" s="394"/>
      <c r="I148" s="370"/>
      <c r="J148" s="391">
        <f>IF(OR(Report!$G$4=C148,Report!$H$4=C148),1,0)</f>
        <v>0</v>
      </c>
      <c r="K148" s="366">
        <f>SUM($J$25:J148)</f>
        <v>2</v>
      </c>
    </row>
    <row r="149" spans="1:11" ht="14.5" x14ac:dyDescent="0.35">
      <c r="A149" s="29" t="str">
        <f>IF(OR(C149&gt;Report!$H$4,C149&lt;Report!$G$4),"",IF(OR(J149*K149=1,K149-J149=1),'!'!$GJ$14,""))</f>
        <v/>
      </c>
      <c r="B149" s="366">
        <f>IF(A149="",0,COUNTIF($A$25:$A149,'!'!$GJ$14))</f>
        <v>0</v>
      </c>
      <c r="C149" s="392"/>
      <c r="D149" s="393"/>
      <c r="E149" s="394"/>
      <c r="F149" s="394"/>
      <c r="G149" s="394"/>
      <c r="H149" s="394"/>
      <c r="I149" s="370"/>
      <c r="J149" s="391">
        <f>IF(OR(Report!$G$4=C149,Report!$H$4=C149),1,0)</f>
        <v>0</v>
      </c>
      <c r="K149" s="366">
        <f>SUM($J$25:J149)</f>
        <v>2</v>
      </c>
    </row>
    <row r="150" spans="1:11" ht="14.5" x14ac:dyDescent="0.35">
      <c r="A150" s="29" t="str">
        <f>IF(OR(C150&gt;Report!$H$4,C150&lt;Report!$G$4),"",IF(OR(J150*K150=1,K150-J150=1),'!'!$GJ$14,""))</f>
        <v/>
      </c>
      <c r="B150" s="366">
        <f>IF(A150="",0,COUNTIF($A$25:$A150,'!'!$GJ$14))</f>
        <v>0</v>
      </c>
      <c r="C150" s="392"/>
      <c r="D150" s="393"/>
      <c r="E150" s="394"/>
      <c r="F150" s="394"/>
      <c r="G150" s="394"/>
      <c r="H150" s="394"/>
      <c r="I150" s="370"/>
      <c r="J150" s="391">
        <f>IF(OR(Report!$G$4=C150,Report!$H$4=C150),1,0)</f>
        <v>0</v>
      </c>
      <c r="K150" s="366">
        <f>SUM($J$25:J150)</f>
        <v>2</v>
      </c>
    </row>
    <row r="151" spans="1:11" ht="14.5" x14ac:dyDescent="0.35">
      <c r="A151" s="29" t="str">
        <f>IF(OR(C151&gt;Report!$H$4,C151&lt;Report!$G$4),"",IF(OR(J151*K151=1,K151-J151=1),'!'!$GJ$14,""))</f>
        <v/>
      </c>
      <c r="B151" s="366">
        <f>IF(A151="",0,COUNTIF($A$25:$A151,'!'!$GJ$14))</f>
        <v>0</v>
      </c>
      <c r="C151" s="392"/>
      <c r="D151" s="393"/>
      <c r="E151" s="394"/>
      <c r="F151" s="394"/>
      <c r="G151" s="394"/>
      <c r="H151" s="394"/>
      <c r="I151" s="370"/>
      <c r="J151" s="391">
        <f>IF(OR(Report!$G$4=C151,Report!$H$4=C151),1,0)</f>
        <v>0</v>
      </c>
      <c r="K151" s="366">
        <f>SUM($J$25:J151)</f>
        <v>2</v>
      </c>
    </row>
    <row r="152" spans="1:11" ht="14.5" x14ac:dyDescent="0.35">
      <c r="A152" s="29" t="str">
        <f>IF(OR(C152&gt;Report!$H$4,C152&lt;Report!$G$4),"",IF(OR(J152*K152=1,K152-J152=1),'!'!$GJ$14,""))</f>
        <v/>
      </c>
      <c r="B152" s="366">
        <f>IF(A152="",0,COUNTIF($A$25:$A152,'!'!$GJ$14))</f>
        <v>0</v>
      </c>
      <c r="C152" s="392"/>
      <c r="D152" s="393"/>
      <c r="E152" s="394"/>
      <c r="F152" s="394"/>
      <c r="G152" s="394"/>
      <c r="H152" s="394"/>
      <c r="I152" s="370"/>
      <c r="J152" s="391">
        <f>IF(OR(Report!$G$4=C152,Report!$H$4=C152),1,0)</f>
        <v>0</v>
      </c>
      <c r="K152" s="366">
        <f>SUM($J$25:J152)</f>
        <v>2</v>
      </c>
    </row>
    <row r="153" spans="1:11" ht="14.5" x14ac:dyDescent="0.35">
      <c r="A153" s="29" t="str">
        <f>IF(OR(C153&gt;Report!$H$4,C153&lt;Report!$G$4),"",IF(OR(J153*K153=1,K153-J153=1),'!'!$GJ$14,""))</f>
        <v/>
      </c>
      <c r="B153" s="366">
        <f>IF(A153="",0,COUNTIF($A$25:$A153,'!'!$GJ$14))</f>
        <v>0</v>
      </c>
      <c r="C153" s="392"/>
      <c r="D153" s="393"/>
      <c r="E153" s="394"/>
      <c r="F153" s="394"/>
      <c r="G153" s="394"/>
      <c r="H153" s="394"/>
      <c r="I153" s="370"/>
      <c r="J153" s="391">
        <f>IF(OR(Report!$G$4=C153,Report!$H$4=C153),1,0)</f>
        <v>0</v>
      </c>
      <c r="K153" s="366">
        <f>SUM($J$25:J153)</f>
        <v>2</v>
      </c>
    </row>
    <row r="154" spans="1:11" ht="14.5" x14ac:dyDescent="0.35">
      <c r="A154" s="29" t="str">
        <f>IF(OR(C154&gt;Report!$H$4,C154&lt;Report!$G$4),"",IF(OR(J154*K154=1,K154-J154=1),'!'!$GJ$14,""))</f>
        <v/>
      </c>
      <c r="B154" s="366">
        <f>IF(A154="",0,COUNTIF($A$25:$A154,'!'!$GJ$14))</f>
        <v>0</v>
      </c>
      <c r="C154" s="392"/>
      <c r="D154" s="393"/>
      <c r="E154" s="394"/>
      <c r="F154" s="394"/>
      <c r="G154" s="394"/>
      <c r="H154" s="394"/>
      <c r="I154" s="370"/>
      <c r="J154" s="391">
        <f>IF(OR(Report!$G$4=C154,Report!$H$4=C154),1,0)</f>
        <v>0</v>
      </c>
      <c r="K154" s="366">
        <f>SUM($J$25:J154)</f>
        <v>2</v>
      </c>
    </row>
    <row r="155" spans="1:11" ht="14.5" x14ac:dyDescent="0.35">
      <c r="A155" s="29" t="str">
        <f>IF(OR(C155&gt;Report!$H$4,C155&lt;Report!$G$4),"",IF(OR(J155*K155=1,K155-J155=1),'!'!$GJ$14,""))</f>
        <v/>
      </c>
      <c r="B155" s="366">
        <f>IF(A155="",0,COUNTIF($A$25:$A155,'!'!$GJ$14))</f>
        <v>0</v>
      </c>
      <c r="C155" s="392"/>
      <c r="D155" s="393"/>
      <c r="E155" s="394"/>
      <c r="F155" s="394"/>
      <c r="G155" s="394"/>
      <c r="H155" s="394"/>
      <c r="I155" s="370"/>
      <c r="J155" s="391">
        <f>IF(OR(Report!$G$4=C155,Report!$H$4=C155),1,0)</f>
        <v>0</v>
      </c>
      <c r="K155" s="366">
        <f>SUM($J$25:J155)</f>
        <v>2</v>
      </c>
    </row>
    <row r="156" spans="1:11" ht="14.5" x14ac:dyDescent="0.35">
      <c r="A156" s="29" t="str">
        <f>IF(OR(C156&gt;Report!$H$4,C156&lt;Report!$G$4),"",IF(OR(J156*K156=1,K156-J156=1),'!'!$GJ$14,""))</f>
        <v/>
      </c>
      <c r="B156" s="366">
        <f>IF(A156="",0,COUNTIF($A$25:$A156,'!'!$GJ$14))</f>
        <v>0</v>
      </c>
      <c r="C156" s="392"/>
      <c r="D156" s="393"/>
      <c r="E156" s="394"/>
      <c r="F156" s="394"/>
      <c r="G156" s="394"/>
      <c r="H156" s="394"/>
      <c r="I156" s="370"/>
      <c r="J156" s="391">
        <f>IF(OR(Report!$G$4=C156,Report!$H$4=C156),1,0)</f>
        <v>0</v>
      </c>
      <c r="K156" s="366">
        <f>SUM($J$25:J156)</f>
        <v>2</v>
      </c>
    </row>
    <row r="157" spans="1:11" ht="14.5" x14ac:dyDescent="0.35">
      <c r="A157" s="29" t="str">
        <f>IF(OR(C157&gt;Report!$H$4,C157&lt;Report!$G$4),"",IF(OR(J157*K157=1,K157-J157=1),'!'!$GJ$14,""))</f>
        <v/>
      </c>
      <c r="B157" s="366">
        <f>IF(A157="",0,COUNTIF($A$25:$A157,'!'!$GJ$14))</f>
        <v>0</v>
      </c>
      <c r="C157" s="392"/>
      <c r="D157" s="393"/>
      <c r="E157" s="394"/>
      <c r="F157" s="394"/>
      <c r="G157" s="394"/>
      <c r="H157" s="394"/>
      <c r="I157" s="370"/>
      <c r="J157" s="391">
        <f>IF(OR(Report!$G$4=C157,Report!$H$4=C157),1,0)</f>
        <v>0</v>
      </c>
      <c r="K157" s="366">
        <f>SUM($J$25:J157)</f>
        <v>2</v>
      </c>
    </row>
    <row r="158" spans="1:11" ht="14.5" x14ac:dyDescent="0.35">
      <c r="A158" s="29" t="str">
        <f>IF(OR(C158&gt;Report!$H$4,C158&lt;Report!$G$4),"",IF(OR(J158*K158=1,K158-J158=1),'!'!$GJ$14,""))</f>
        <v/>
      </c>
      <c r="B158" s="366">
        <f>IF(A158="",0,COUNTIF($A$25:$A158,'!'!$GJ$14))</f>
        <v>0</v>
      </c>
      <c r="C158" s="392"/>
      <c r="D158" s="393"/>
      <c r="E158" s="394"/>
      <c r="F158" s="394"/>
      <c r="G158" s="394"/>
      <c r="H158" s="394"/>
      <c r="I158" s="370"/>
      <c r="J158" s="391">
        <f>IF(OR(Report!$G$4=C158,Report!$H$4=C158),1,0)</f>
        <v>0</v>
      </c>
      <c r="K158" s="366">
        <f>SUM($J$25:J158)</f>
        <v>2</v>
      </c>
    </row>
    <row r="159" spans="1:11" ht="14.5" x14ac:dyDescent="0.35">
      <c r="A159" s="29" t="str">
        <f>IF(OR(C159&gt;Report!$H$4,C159&lt;Report!$G$4),"",IF(OR(J159*K159=1,K159-J159=1),'!'!$GJ$14,""))</f>
        <v/>
      </c>
      <c r="B159" s="366">
        <f>IF(A159="",0,COUNTIF($A$25:$A159,'!'!$GJ$14))</f>
        <v>0</v>
      </c>
      <c r="C159" s="392"/>
      <c r="D159" s="393"/>
      <c r="E159" s="394"/>
      <c r="F159" s="394"/>
      <c r="G159" s="394"/>
      <c r="H159" s="394"/>
      <c r="I159" s="370"/>
      <c r="J159" s="391">
        <f>IF(OR(Report!$G$4=C159,Report!$H$4=C159),1,0)</f>
        <v>0</v>
      </c>
      <c r="K159" s="366">
        <f>SUM($J$25:J159)</f>
        <v>2</v>
      </c>
    </row>
    <row r="160" spans="1:11" ht="14.5" x14ac:dyDescent="0.35">
      <c r="A160" s="29" t="str">
        <f>IF(OR(C160&gt;Report!$H$4,C160&lt;Report!$G$4),"",IF(OR(J160*K160=1,K160-J160=1),'!'!$GJ$14,""))</f>
        <v/>
      </c>
      <c r="B160" s="366">
        <f>IF(A160="",0,COUNTIF($A$25:$A160,'!'!$GJ$14))</f>
        <v>0</v>
      </c>
      <c r="C160" s="392"/>
      <c r="D160" s="393"/>
      <c r="E160" s="394"/>
      <c r="F160" s="394"/>
      <c r="G160" s="394"/>
      <c r="H160" s="394"/>
      <c r="I160" s="370"/>
      <c r="J160" s="391">
        <f>IF(OR(Report!$G$4=C160,Report!$H$4=C160),1,0)</f>
        <v>0</v>
      </c>
      <c r="K160" s="366">
        <f>SUM($J$25:J160)</f>
        <v>2</v>
      </c>
    </row>
    <row r="161" spans="1:11" ht="14.5" x14ac:dyDescent="0.35">
      <c r="A161" s="29" t="str">
        <f>IF(OR(C161&gt;Report!$H$4,C161&lt;Report!$G$4),"",IF(OR(J161*K161=1,K161-J161=1),'!'!$GJ$14,""))</f>
        <v/>
      </c>
      <c r="B161" s="366">
        <f>IF(A161="",0,COUNTIF($A$25:$A161,'!'!$GJ$14))</f>
        <v>0</v>
      </c>
      <c r="C161" s="392"/>
      <c r="D161" s="393"/>
      <c r="E161" s="394"/>
      <c r="F161" s="394"/>
      <c r="G161" s="394"/>
      <c r="H161" s="394"/>
      <c r="I161" s="370"/>
      <c r="J161" s="391">
        <f>IF(OR(Report!$G$4=C161,Report!$H$4=C161),1,0)</f>
        <v>0</v>
      </c>
      <c r="K161" s="366">
        <f>SUM($J$25:J161)</f>
        <v>2</v>
      </c>
    </row>
    <row r="162" spans="1:11" ht="14.5" x14ac:dyDescent="0.35">
      <c r="A162" s="29" t="str">
        <f>IF(OR(C162&gt;Report!$H$4,C162&lt;Report!$G$4),"",IF(OR(J162*K162=1,K162-J162=1),'!'!$GJ$14,""))</f>
        <v/>
      </c>
      <c r="B162" s="366">
        <f>IF(A162="",0,COUNTIF($A$25:$A162,'!'!$GJ$14))</f>
        <v>0</v>
      </c>
      <c r="C162" s="392"/>
      <c r="D162" s="393"/>
      <c r="E162" s="394"/>
      <c r="F162" s="394"/>
      <c r="G162" s="394"/>
      <c r="H162" s="394"/>
      <c r="I162" s="370"/>
      <c r="J162" s="391">
        <f>IF(OR(Report!$G$4=C162,Report!$H$4=C162),1,0)</f>
        <v>0</v>
      </c>
      <c r="K162" s="366">
        <f>SUM($J$25:J162)</f>
        <v>2</v>
      </c>
    </row>
    <row r="163" spans="1:11" ht="14.5" x14ac:dyDescent="0.35">
      <c r="A163" s="29" t="str">
        <f>IF(OR(C163&gt;Report!$H$4,C163&lt;Report!$G$4),"",IF(OR(J163*K163=1,K163-J163=1),'!'!$GJ$14,""))</f>
        <v/>
      </c>
      <c r="B163" s="366">
        <f>IF(A163="",0,COUNTIF($A$25:$A163,'!'!$GJ$14))</f>
        <v>0</v>
      </c>
      <c r="C163" s="392"/>
      <c r="D163" s="393"/>
      <c r="E163" s="394"/>
      <c r="F163" s="394"/>
      <c r="G163" s="394"/>
      <c r="H163" s="394"/>
      <c r="I163" s="370"/>
      <c r="J163" s="391">
        <f>IF(OR(Report!$G$4=C163,Report!$H$4=C163),1,0)</f>
        <v>0</v>
      </c>
      <c r="K163" s="366">
        <f>SUM($J$25:J163)</f>
        <v>2</v>
      </c>
    </row>
    <row r="164" spans="1:11" ht="14.5" x14ac:dyDescent="0.35">
      <c r="A164" s="29" t="str">
        <f>IF(OR(C164&gt;Report!$H$4,C164&lt;Report!$G$4),"",IF(OR(J164*K164=1,K164-J164=1),'!'!$GJ$14,""))</f>
        <v/>
      </c>
      <c r="B164" s="366">
        <f>IF(A164="",0,COUNTIF($A$25:$A164,'!'!$GJ$14))</f>
        <v>0</v>
      </c>
      <c r="C164" s="392"/>
      <c r="D164" s="393"/>
      <c r="E164" s="394"/>
      <c r="F164" s="394"/>
      <c r="G164" s="394"/>
      <c r="H164" s="394"/>
      <c r="I164" s="370"/>
      <c r="J164" s="391">
        <f>IF(OR(Report!$G$4=C164,Report!$H$4=C164),1,0)</f>
        <v>0</v>
      </c>
      <c r="K164" s="366">
        <f>SUM($J$25:J164)</f>
        <v>2</v>
      </c>
    </row>
    <row r="165" spans="1:11" ht="14.5" x14ac:dyDescent="0.35">
      <c r="A165" s="29" t="str">
        <f>IF(OR(C165&gt;Report!$H$4,C165&lt;Report!$G$4),"",IF(OR(J165*K165=1,K165-J165=1),'!'!$GJ$14,""))</f>
        <v/>
      </c>
      <c r="B165" s="366">
        <f>IF(A165="",0,COUNTIF($A$25:$A165,'!'!$GJ$14))</f>
        <v>0</v>
      </c>
      <c r="C165" s="392"/>
      <c r="D165" s="393"/>
      <c r="E165" s="394"/>
      <c r="F165" s="394"/>
      <c r="G165" s="394"/>
      <c r="H165" s="394"/>
      <c r="I165" s="370"/>
      <c r="J165" s="391">
        <f>IF(OR(Report!$G$4=C165,Report!$H$4=C165),1,0)</f>
        <v>0</v>
      </c>
      <c r="K165" s="366">
        <f>SUM($J$25:J165)</f>
        <v>2</v>
      </c>
    </row>
    <row r="166" spans="1:11" ht="14.5" x14ac:dyDescent="0.35">
      <c r="A166" s="29" t="str">
        <f>IF(OR(C166&gt;Report!$H$4,C166&lt;Report!$G$4),"",IF(OR(J166*K166=1,K166-J166=1),'!'!$GJ$14,""))</f>
        <v/>
      </c>
      <c r="B166" s="366">
        <f>IF(A166="",0,COUNTIF($A$25:$A166,'!'!$GJ$14))</f>
        <v>0</v>
      </c>
      <c r="C166" s="392"/>
      <c r="D166" s="393"/>
      <c r="E166" s="394"/>
      <c r="F166" s="394"/>
      <c r="G166" s="394"/>
      <c r="H166" s="394"/>
      <c r="I166" s="370"/>
      <c r="J166" s="391">
        <f>IF(OR(Report!$G$4=C166,Report!$H$4=C166),1,0)</f>
        <v>0</v>
      </c>
      <c r="K166" s="366">
        <f>SUM($J$25:J166)</f>
        <v>2</v>
      </c>
    </row>
    <row r="167" spans="1:11" ht="14.5" x14ac:dyDescent="0.35">
      <c r="A167" s="29" t="str">
        <f>IF(OR(C167&gt;Report!$H$4,C167&lt;Report!$G$4),"",IF(OR(J167*K167=1,K167-J167=1),'!'!$GJ$14,""))</f>
        <v/>
      </c>
      <c r="B167" s="366">
        <f>IF(A167="",0,COUNTIF($A$25:$A167,'!'!$GJ$14))</f>
        <v>0</v>
      </c>
      <c r="C167" s="392"/>
      <c r="D167" s="393"/>
      <c r="E167" s="394"/>
      <c r="F167" s="394"/>
      <c r="G167" s="394"/>
      <c r="H167" s="394"/>
      <c r="I167" s="370"/>
      <c r="J167" s="391">
        <f>IF(OR(Report!$G$4=C167,Report!$H$4=C167),1,0)</f>
        <v>0</v>
      </c>
      <c r="K167" s="366">
        <f>SUM($J$25:J167)</f>
        <v>2</v>
      </c>
    </row>
    <row r="168" spans="1:11" ht="14.5" x14ac:dyDescent="0.35">
      <c r="A168" s="29" t="str">
        <f>IF(OR(C168&gt;Report!$H$4,C168&lt;Report!$G$4),"",IF(OR(J168*K168=1,K168-J168=1),'!'!$GJ$14,""))</f>
        <v/>
      </c>
      <c r="B168" s="366">
        <f>IF(A168="",0,COUNTIF($A$25:$A168,'!'!$GJ$14))</f>
        <v>0</v>
      </c>
      <c r="C168" s="392"/>
      <c r="D168" s="393"/>
      <c r="E168" s="394"/>
      <c r="F168" s="394"/>
      <c r="G168" s="394"/>
      <c r="H168" s="394"/>
      <c r="I168" s="370"/>
      <c r="J168" s="391">
        <f>IF(OR(Report!$G$4=C168,Report!$H$4=C168),1,0)</f>
        <v>0</v>
      </c>
      <c r="K168" s="366">
        <f>SUM($J$25:J168)</f>
        <v>2</v>
      </c>
    </row>
    <row r="169" spans="1:11" ht="14.5" x14ac:dyDescent="0.35">
      <c r="A169" s="29" t="str">
        <f>IF(OR(C169&gt;Report!$H$4,C169&lt;Report!$G$4),"",IF(OR(J169*K169=1,K169-J169=1),'!'!$GJ$14,""))</f>
        <v/>
      </c>
      <c r="B169" s="366">
        <f>IF(A169="",0,COUNTIF($A$25:$A169,'!'!$GJ$14))</f>
        <v>0</v>
      </c>
      <c r="C169" s="392"/>
      <c r="D169" s="393"/>
      <c r="E169" s="394"/>
      <c r="F169" s="394"/>
      <c r="G169" s="394"/>
      <c r="H169" s="394"/>
      <c r="I169" s="370"/>
      <c r="J169" s="391">
        <f>IF(OR(Report!$G$4=C169,Report!$H$4=C169),1,0)</f>
        <v>0</v>
      </c>
      <c r="K169" s="366">
        <f>SUM($J$25:J169)</f>
        <v>2</v>
      </c>
    </row>
    <row r="170" spans="1:11" ht="14.5" x14ac:dyDescent="0.35">
      <c r="A170" s="29" t="str">
        <f>IF(OR(C170&gt;Report!$H$4,C170&lt;Report!$G$4),"",IF(OR(J170*K170=1,K170-J170=1),'!'!$GJ$14,""))</f>
        <v/>
      </c>
      <c r="B170" s="366">
        <f>IF(A170="",0,COUNTIF($A$25:$A170,'!'!$GJ$14))</f>
        <v>0</v>
      </c>
      <c r="C170" s="392"/>
      <c r="D170" s="393"/>
      <c r="E170" s="394"/>
      <c r="F170" s="394"/>
      <c r="G170" s="394"/>
      <c r="H170" s="394"/>
      <c r="I170" s="370"/>
      <c r="J170" s="391">
        <f>IF(OR(Report!$G$4=C170,Report!$H$4=C170),1,0)</f>
        <v>0</v>
      </c>
      <c r="K170" s="366">
        <f>SUM($J$25:J170)</f>
        <v>2</v>
      </c>
    </row>
    <row r="171" spans="1:11" ht="14.5" x14ac:dyDescent="0.35">
      <c r="A171" s="29" t="str">
        <f>IF(OR(C171&gt;Report!$H$4,C171&lt;Report!$G$4),"",IF(OR(J171*K171=1,K171-J171=1),'!'!$GJ$14,""))</f>
        <v/>
      </c>
      <c r="B171" s="366">
        <f>IF(A171="",0,COUNTIF($A$25:$A171,'!'!$GJ$14))</f>
        <v>0</v>
      </c>
      <c r="C171" s="392"/>
      <c r="D171" s="393"/>
      <c r="E171" s="394"/>
      <c r="F171" s="394"/>
      <c r="G171" s="394"/>
      <c r="H171" s="394"/>
      <c r="I171" s="370"/>
      <c r="J171" s="391">
        <f>IF(OR(Report!$G$4=C171,Report!$H$4=C171),1,0)</f>
        <v>0</v>
      </c>
      <c r="K171" s="366">
        <f>SUM($J$25:J171)</f>
        <v>2</v>
      </c>
    </row>
    <row r="172" spans="1:11" ht="14.5" x14ac:dyDescent="0.35">
      <c r="A172" s="29" t="str">
        <f>IF(OR(C172&gt;Report!$H$4,C172&lt;Report!$G$4),"",IF(OR(J172*K172=1,K172-J172=1),'!'!$GJ$14,""))</f>
        <v/>
      </c>
      <c r="B172" s="366">
        <f>IF(A172="",0,COUNTIF($A$25:$A172,'!'!$GJ$14))</f>
        <v>0</v>
      </c>
      <c r="C172" s="392"/>
      <c r="D172" s="393"/>
      <c r="E172" s="394"/>
      <c r="F172" s="394"/>
      <c r="G172" s="394"/>
      <c r="H172" s="394"/>
      <c r="I172" s="370"/>
      <c r="J172" s="391">
        <f>IF(OR(Report!$G$4=C172,Report!$H$4=C172),1,0)</f>
        <v>0</v>
      </c>
      <c r="K172" s="366">
        <f>SUM($J$25:J172)</f>
        <v>2</v>
      </c>
    </row>
    <row r="173" spans="1:11" ht="14.5" x14ac:dyDescent="0.35">
      <c r="A173" s="29" t="str">
        <f>IF(OR(C173&gt;Report!$H$4,C173&lt;Report!$G$4),"",IF(OR(J173*K173=1,K173-J173=1),'!'!$GJ$14,""))</f>
        <v/>
      </c>
      <c r="B173" s="366">
        <f>IF(A173="",0,COUNTIF($A$25:$A173,'!'!$GJ$14))</f>
        <v>0</v>
      </c>
      <c r="C173" s="392"/>
      <c r="D173" s="393"/>
      <c r="E173" s="394"/>
      <c r="F173" s="394"/>
      <c r="G173" s="394"/>
      <c r="H173" s="394"/>
      <c r="I173" s="370"/>
      <c r="J173" s="391">
        <f>IF(OR(Report!$G$4=C173,Report!$H$4=C173),1,0)</f>
        <v>0</v>
      </c>
      <c r="K173" s="366">
        <f>SUM($J$25:J173)</f>
        <v>2</v>
      </c>
    </row>
    <row r="174" spans="1:11" ht="14.5" x14ac:dyDescent="0.35">
      <c r="A174" s="29" t="str">
        <f>IF(OR(C174&gt;Report!$H$4,C174&lt;Report!$G$4),"",IF(OR(J174*K174=1,K174-J174=1),'!'!$GJ$14,""))</f>
        <v/>
      </c>
      <c r="B174" s="366">
        <f>IF(A174="",0,COUNTIF($A$25:$A174,'!'!$GJ$14))</f>
        <v>0</v>
      </c>
      <c r="C174" s="392"/>
      <c r="D174" s="393"/>
      <c r="E174" s="394"/>
      <c r="F174" s="394"/>
      <c r="G174" s="394"/>
      <c r="H174" s="394"/>
      <c r="I174" s="370"/>
      <c r="J174" s="391">
        <f>IF(OR(Report!$G$4=C174,Report!$H$4=C174),1,0)</f>
        <v>0</v>
      </c>
      <c r="K174" s="366">
        <f>SUM($J$25:J174)</f>
        <v>2</v>
      </c>
    </row>
    <row r="175" spans="1:11" ht="14.5" x14ac:dyDescent="0.35">
      <c r="A175" s="29" t="str">
        <f>IF(OR(C175&gt;Report!$H$4,C175&lt;Report!$G$4),"",IF(OR(J175*K175=1,K175-J175=1),'!'!$GJ$14,""))</f>
        <v/>
      </c>
      <c r="B175" s="366">
        <f>IF(A175="",0,COUNTIF($A$25:$A175,'!'!$GJ$14))</f>
        <v>0</v>
      </c>
      <c r="C175" s="392"/>
      <c r="D175" s="393"/>
      <c r="E175" s="394"/>
      <c r="F175" s="394"/>
      <c r="G175" s="394"/>
      <c r="H175" s="394"/>
      <c r="I175" s="370"/>
      <c r="J175" s="391">
        <f>IF(OR(Report!$G$4=C175,Report!$H$4=C175),1,0)</f>
        <v>0</v>
      </c>
      <c r="K175" s="366">
        <f>SUM($J$25:J175)</f>
        <v>2</v>
      </c>
    </row>
    <row r="176" spans="1:11" ht="14.5" x14ac:dyDescent="0.35">
      <c r="A176" s="29" t="str">
        <f>IF(OR(C176&gt;Report!$H$4,C176&lt;Report!$G$4),"",IF(OR(J176*K176=1,K176-J176=1),'!'!$GJ$14,""))</f>
        <v/>
      </c>
      <c r="B176" s="366">
        <f>IF(A176="",0,COUNTIF($A$25:$A176,'!'!$GJ$14))</f>
        <v>0</v>
      </c>
      <c r="C176" s="392"/>
      <c r="D176" s="393"/>
      <c r="E176" s="394"/>
      <c r="F176" s="394"/>
      <c r="G176" s="394"/>
      <c r="H176" s="394"/>
      <c r="I176" s="370"/>
      <c r="J176" s="391">
        <f>IF(OR(Report!$G$4=C176,Report!$H$4=C176),1,0)</f>
        <v>0</v>
      </c>
      <c r="K176" s="366">
        <f>SUM($J$25:J176)</f>
        <v>2</v>
      </c>
    </row>
    <row r="177" spans="1:11" ht="14.5" x14ac:dyDescent="0.35">
      <c r="A177" s="29" t="str">
        <f>IF(OR(C177&gt;Report!$H$4,C177&lt;Report!$G$4),"",IF(OR(J177*K177=1,K177-J177=1),'!'!$GJ$14,""))</f>
        <v/>
      </c>
      <c r="B177" s="366">
        <f>IF(A177="",0,COUNTIF($A$25:$A177,'!'!$GJ$14))</f>
        <v>0</v>
      </c>
      <c r="C177" s="392"/>
      <c r="D177" s="393"/>
      <c r="E177" s="394"/>
      <c r="F177" s="394"/>
      <c r="G177" s="394"/>
      <c r="H177" s="394"/>
      <c r="I177" s="370"/>
      <c r="J177" s="391">
        <f>IF(OR(Report!$G$4=C177,Report!$H$4=C177),1,0)</f>
        <v>0</v>
      </c>
      <c r="K177" s="366">
        <f>SUM($J$25:J177)</f>
        <v>2</v>
      </c>
    </row>
    <row r="178" spans="1:11" ht="14.5" x14ac:dyDescent="0.35">
      <c r="A178" s="29" t="str">
        <f>IF(OR(C178&gt;Report!$H$4,C178&lt;Report!$G$4),"",IF(OR(J178*K178=1,K178-J178=1),'!'!$GJ$14,""))</f>
        <v/>
      </c>
      <c r="B178" s="366">
        <f>IF(A178="",0,COUNTIF($A$25:$A178,'!'!$GJ$14))</f>
        <v>0</v>
      </c>
      <c r="C178" s="392"/>
      <c r="D178" s="393"/>
      <c r="E178" s="394"/>
      <c r="F178" s="394"/>
      <c r="G178" s="394"/>
      <c r="H178" s="394"/>
      <c r="I178" s="370"/>
      <c r="J178" s="391">
        <f>IF(OR(Report!$G$4=C178,Report!$H$4=C178),1,0)</f>
        <v>0</v>
      </c>
      <c r="K178" s="366">
        <f>SUM($J$25:J178)</f>
        <v>2</v>
      </c>
    </row>
    <row r="179" spans="1:11" ht="14.5" x14ac:dyDescent="0.35">
      <c r="A179" s="29" t="str">
        <f>IF(OR(C179&gt;Report!$H$4,C179&lt;Report!$G$4),"",IF(OR(J179*K179=1,K179-J179=1),'!'!$GJ$14,""))</f>
        <v/>
      </c>
      <c r="B179" s="366">
        <f>IF(A179="",0,COUNTIF($A$25:$A179,'!'!$GJ$14))</f>
        <v>0</v>
      </c>
      <c r="C179" s="392"/>
      <c r="D179" s="393"/>
      <c r="E179" s="394"/>
      <c r="F179" s="394"/>
      <c r="G179" s="394"/>
      <c r="H179" s="394"/>
      <c r="I179" s="370"/>
      <c r="J179" s="391">
        <f>IF(OR(Report!$G$4=C179,Report!$H$4=C179),1,0)</f>
        <v>0</v>
      </c>
      <c r="K179" s="366">
        <f>SUM($J$25:J179)</f>
        <v>2</v>
      </c>
    </row>
    <row r="180" spans="1:11" ht="14.5" x14ac:dyDescent="0.35">
      <c r="A180" s="29" t="str">
        <f>IF(OR(C180&gt;Report!$H$4,C180&lt;Report!$G$4),"",IF(OR(J180*K180=1,K180-J180=1),'!'!$GJ$14,""))</f>
        <v/>
      </c>
      <c r="B180" s="366">
        <f>IF(A180="",0,COUNTIF($A$25:$A180,'!'!$GJ$14))</f>
        <v>0</v>
      </c>
      <c r="C180" s="392"/>
      <c r="D180" s="393"/>
      <c r="E180" s="394"/>
      <c r="F180" s="394"/>
      <c r="G180" s="394"/>
      <c r="H180" s="394"/>
      <c r="I180" s="370"/>
      <c r="J180" s="391">
        <f>IF(OR(Report!$G$4=C180,Report!$H$4=C180),1,0)</f>
        <v>0</v>
      </c>
      <c r="K180" s="366">
        <f>SUM($J$25:J180)</f>
        <v>2</v>
      </c>
    </row>
    <row r="181" spans="1:11" ht="14.5" x14ac:dyDescent="0.35">
      <c r="A181" s="29" t="str">
        <f>IF(OR(C181&gt;Report!$H$4,C181&lt;Report!$G$4),"",IF(OR(J181*K181=1,K181-J181=1),'!'!$GJ$14,""))</f>
        <v/>
      </c>
      <c r="B181" s="366">
        <f>IF(A181="",0,COUNTIF($A$25:$A181,'!'!$GJ$14))</f>
        <v>0</v>
      </c>
      <c r="C181" s="392"/>
      <c r="D181" s="393"/>
      <c r="E181" s="394"/>
      <c r="F181" s="394"/>
      <c r="G181" s="394"/>
      <c r="H181" s="394"/>
      <c r="I181" s="370"/>
      <c r="J181" s="391">
        <f>IF(OR(Report!$G$4=C181,Report!$H$4=C181),1,0)</f>
        <v>0</v>
      </c>
      <c r="K181" s="366">
        <f>SUM($J$25:J181)</f>
        <v>2</v>
      </c>
    </row>
    <row r="182" spans="1:11" ht="14.5" x14ac:dyDescent="0.35">
      <c r="A182" s="29" t="str">
        <f>IF(OR(C182&gt;Report!$H$4,C182&lt;Report!$G$4),"",IF(OR(J182*K182=1,K182-J182=1),'!'!$GJ$14,""))</f>
        <v/>
      </c>
      <c r="B182" s="366">
        <f>IF(A182="",0,COUNTIF($A$25:$A182,'!'!$GJ$14))</f>
        <v>0</v>
      </c>
      <c r="C182" s="392"/>
      <c r="D182" s="393"/>
      <c r="E182" s="394"/>
      <c r="F182" s="394"/>
      <c r="G182" s="394"/>
      <c r="H182" s="394"/>
      <c r="I182" s="370"/>
      <c r="J182" s="391">
        <f>IF(OR(Report!$G$4=C182,Report!$H$4=C182),1,0)</f>
        <v>0</v>
      </c>
      <c r="K182" s="366">
        <f>SUM($J$25:J182)</f>
        <v>2</v>
      </c>
    </row>
    <row r="183" spans="1:11" ht="14.5" x14ac:dyDescent="0.35">
      <c r="A183" s="29" t="str">
        <f>IF(OR(C183&gt;Report!$H$4,C183&lt;Report!$G$4),"",IF(OR(J183*K183=1,K183-J183=1),'!'!$GJ$14,""))</f>
        <v/>
      </c>
      <c r="B183" s="366">
        <f>IF(A183="",0,COUNTIF($A$25:$A183,'!'!$GJ$14))</f>
        <v>0</v>
      </c>
      <c r="C183" s="392"/>
      <c r="D183" s="393"/>
      <c r="E183" s="394"/>
      <c r="F183" s="394"/>
      <c r="G183" s="394"/>
      <c r="H183" s="394"/>
      <c r="I183" s="370"/>
      <c r="J183" s="391">
        <f>IF(OR(Report!$G$4=C183,Report!$H$4=C183),1,0)</f>
        <v>0</v>
      </c>
      <c r="K183" s="366">
        <f>SUM($J$25:J183)</f>
        <v>2</v>
      </c>
    </row>
    <row r="184" spans="1:11" ht="14.5" x14ac:dyDescent="0.35">
      <c r="A184" s="29" t="str">
        <f>IF(OR(C184&gt;Report!$H$4,C184&lt;Report!$G$4),"",IF(OR(J184*K184=1,K184-J184=1),'!'!$GJ$14,""))</f>
        <v/>
      </c>
      <c r="B184" s="366">
        <f>IF(A184="",0,COUNTIF($A$25:$A184,'!'!$GJ$14))</f>
        <v>0</v>
      </c>
      <c r="C184" s="392"/>
      <c r="D184" s="393"/>
      <c r="E184" s="394"/>
      <c r="F184" s="394"/>
      <c r="G184" s="394"/>
      <c r="H184" s="394"/>
      <c r="I184" s="370"/>
      <c r="J184" s="391">
        <f>IF(OR(Report!$G$4=C184,Report!$H$4=C184),1,0)</f>
        <v>0</v>
      </c>
      <c r="K184" s="366">
        <f>SUM($J$25:J184)</f>
        <v>2</v>
      </c>
    </row>
    <row r="185" spans="1:11" ht="14.5" x14ac:dyDescent="0.35">
      <c r="A185" s="29" t="str">
        <f>IF(OR(C185&gt;Report!$H$4,C185&lt;Report!$G$4),"",IF(OR(J185*K185=1,K185-J185=1),'!'!$GJ$14,""))</f>
        <v/>
      </c>
      <c r="B185" s="366">
        <f>IF(A185="",0,COUNTIF($A$25:$A185,'!'!$GJ$14))</f>
        <v>0</v>
      </c>
      <c r="C185" s="392"/>
      <c r="D185" s="393"/>
      <c r="E185" s="394"/>
      <c r="F185" s="394"/>
      <c r="G185" s="394"/>
      <c r="H185" s="394"/>
      <c r="I185" s="370"/>
      <c r="J185" s="391">
        <f>IF(OR(Report!$G$4=C185,Report!$H$4=C185),1,0)</f>
        <v>0</v>
      </c>
      <c r="K185" s="366">
        <f>SUM($J$25:J185)</f>
        <v>2</v>
      </c>
    </row>
    <row r="186" spans="1:11" ht="14.5" x14ac:dyDescent="0.35">
      <c r="A186" s="29" t="str">
        <f>IF(OR(C186&gt;Report!$H$4,C186&lt;Report!$G$4),"",IF(OR(J186*K186=1,K186-J186=1),'!'!$GJ$14,""))</f>
        <v/>
      </c>
      <c r="B186" s="366">
        <f>IF(A186="",0,COUNTIF($A$25:$A186,'!'!$GJ$14))</f>
        <v>0</v>
      </c>
      <c r="C186" s="392"/>
      <c r="D186" s="393"/>
      <c r="E186" s="394"/>
      <c r="F186" s="394"/>
      <c r="G186" s="394"/>
      <c r="H186" s="394"/>
      <c r="I186" s="370"/>
      <c r="J186" s="391">
        <f>IF(OR(Report!$G$4=C186,Report!$H$4=C186),1,0)</f>
        <v>0</v>
      </c>
      <c r="K186" s="366">
        <f>SUM($J$25:J186)</f>
        <v>2</v>
      </c>
    </row>
    <row r="187" spans="1:11" ht="14.5" x14ac:dyDescent="0.35">
      <c r="A187" s="29" t="str">
        <f>IF(OR(C187&gt;Report!$H$4,C187&lt;Report!$G$4),"",IF(OR(J187*K187=1,K187-J187=1),'!'!$GJ$14,""))</f>
        <v/>
      </c>
      <c r="B187" s="366">
        <f>IF(A187="",0,COUNTIF($A$25:$A187,'!'!$GJ$14))</f>
        <v>0</v>
      </c>
      <c r="C187" s="392"/>
      <c r="D187" s="393"/>
      <c r="E187" s="394"/>
      <c r="F187" s="394"/>
      <c r="G187" s="394"/>
      <c r="H187" s="394"/>
      <c r="I187" s="370"/>
      <c r="J187" s="391">
        <f>IF(OR(Report!$G$4=C187,Report!$H$4=C187),1,0)</f>
        <v>0</v>
      </c>
      <c r="K187" s="366">
        <f>SUM($J$25:J187)</f>
        <v>2</v>
      </c>
    </row>
    <row r="188" spans="1:11" ht="14.5" x14ac:dyDescent="0.35">
      <c r="A188" s="29" t="str">
        <f>IF(OR(C188&gt;Report!$H$4,C188&lt;Report!$G$4),"",IF(OR(J188*K188=1,K188-J188=1),'!'!$GJ$14,""))</f>
        <v/>
      </c>
      <c r="B188" s="366">
        <f>IF(A188="",0,COUNTIF($A$25:$A188,'!'!$GJ$14))</f>
        <v>0</v>
      </c>
      <c r="C188" s="392"/>
      <c r="D188" s="393"/>
      <c r="E188" s="394"/>
      <c r="F188" s="394"/>
      <c r="G188" s="394"/>
      <c r="H188" s="394"/>
      <c r="I188" s="370"/>
      <c r="J188" s="391">
        <f>IF(OR(Report!$G$4=C188,Report!$H$4=C188),1,0)</f>
        <v>0</v>
      </c>
      <c r="K188" s="366">
        <f>SUM($J$25:J188)</f>
        <v>2</v>
      </c>
    </row>
    <row r="189" spans="1:11" ht="14.5" x14ac:dyDescent="0.35">
      <c r="A189" s="29" t="str">
        <f>IF(OR(C189&gt;Report!$H$4,C189&lt;Report!$G$4),"",IF(OR(J189*K189=1,K189-J189=1),'!'!$GJ$14,""))</f>
        <v/>
      </c>
      <c r="B189" s="366">
        <f>IF(A189="",0,COUNTIF($A$25:$A189,'!'!$GJ$14))</f>
        <v>0</v>
      </c>
      <c r="C189" s="392"/>
      <c r="D189" s="393"/>
      <c r="E189" s="394"/>
      <c r="F189" s="394"/>
      <c r="G189" s="394"/>
      <c r="H189" s="394"/>
      <c r="I189" s="370"/>
      <c r="J189" s="391">
        <f>IF(OR(Report!$G$4=C189,Report!$H$4=C189),1,0)</f>
        <v>0</v>
      </c>
      <c r="K189" s="366">
        <f>SUM($J$25:J189)</f>
        <v>2</v>
      </c>
    </row>
    <row r="190" spans="1:11" ht="14.5" x14ac:dyDescent="0.35">
      <c r="A190" s="29" t="str">
        <f>IF(OR(C190&gt;Report!$H$4,C190&lt;Report!$G$4),"",IF(OR(J190*K190=1,K190-J190=1),'!'!$GJ$14,""))</f>
        <v/>
      </c>
      <c r="B190" s="366">
        <f>IF(A190="",0,COUNTIF($A$25:$A190,'!'!$GJ$14))</f>
        <v>0</v>
      </c>
      <c r="C190" s="392"/>
      <c r="D190" s="393"/>
      <c r="E190" s="394"/>
      <c r="F190" s="394"/>
      <c r="G190" s="394"/>
      <c r="H190" s="394"/>
      <c r="I190" s="370"/>
      <c r="J190" s="391">
        <f>IF(OR(Report!$G$4=C190,Report!$H$4=C190),1,0)</f>
        <v>0</v>
      </c>
      <c r="K190" s="366">
        <f>SUM($J$25:J190)</f>
        <v>2</v>
      </c>
    </row>
    <row r="191" spans="1:11" ht="14.5" x14ac:dyDescent="0.35">
      <c r="A191" s="29" t="str">
        <f>IF(OR(C191&gt;Report!$H$4,C191&lt;Report!$G$4),"",IF(OR(J191*K191=1,K191-J191=1),'!'!$GJ$14,""))</f>
        <v/>
      </c>
      <c r="B191" s="366">
        <f>IF(A191="",0,COUNTIF($A$25:$A191,'!'!$GJ$14))</f>
        <v>0</v>
      </c>
      <c r="C191" s="392"/>
      <c r="D191" s="393"/>
      <c r="E191" s="394"/>
      <c r="F191" s="394"/>
      <c r="G191" s="394"/>
      <c r="H191" s="394"/>
      <c r="I191" s="370"/>
      <c r="J191" s="391">
        <f>IF(OR(Report!$G$4=C191,Report!$H$4=C191),1,0)</f>
        <v>0</v>
      </c>
      <c r="K191" s="366">
        <f>SUM($J$25:J191)</f>
        <v>2</v>
      </c>
    </row>
    <row r="192" spans="1:11" ht="14.5" x14ac:dyDescent="0.35">
      <c r="A192" s="29" t="str">
        <f>IF(OR(C192&gt;Report!$H$4,C192&lt;Report!$G$4),"",IF(OR(J192*K192=1,K192-J192=1),'!'!$GJ$14,""))</f>
        <v/>
      </c>
      <c r="B192" s="366">
        <f>IF(A192="",0,COUNTIF($A$25:$A192,'!'!$GJ$14))</f>
        <v>0</v>
      </c>
      <c r="C192" s="392"/>
      <c r="D192" s="393"/>
      <c r="E192" s="394"/>
      <c r="F192" s="394"/>
      <c r="G192" s="394"/>
      <c r="H192" s="394"/>
      <c r="I192" s="370"/>
      <c r="J192" s="391">
        <f>IF(OR(Report!$G$4=C192,Report!$H$4=C192),1,0)</f>
        <v>0</v>
      </c>
      <c r="K192" s="366">
        <f>SUM($J$25:J192)</f>
        <v>2</v>
      </c>
    </row>
    <row r="193" spans="1:11" ht="14.5" x14ac:dyDescent="0.35">
      <c r="A193" s="29" t="str">
        <f>IF(OR(C193&gt;Report!$H$4,C193&lt;Report!$G$4),"",IF(OR(J193*K193=1,K193-J193=1),'!'!$GJ$14,""))</f>
        <v/>
      </c>
      <c r="B193" s="366">
        <f>IF(A193="",0,COUNTIF($A$25:$A193,'!'!$GJ$14))</f>
        <v>0</v>
      </c>
      <c r="C193" s="392"/>
      <c r="D193" s="393"/>
      <c r="E193" s="394"/>
      <c r="F193" s="394"/>
      <c r="G193" s="394"/>
      <c r="H193" s="394"/>
      <c r="I193" s="370"/>
      <c r="J193" s="391">
        <f>IF(OR(Report!$G$4=C193,Report!$H$4=C193),1,0)</f>
        <v>0</v>
      </c>
      <c r="K193" s="366">
        <f>SUM($J$25:J193)</f>
        <v>2</v>
      </c>
    </row>
    <row r="194" spans="1:11" ht="14.5" x14ac:dyDescent="0.35">
      <c r="A194" s="29" t="str">
        <f>IF(OR(C194&gt;Report!$H$4,C194&lt;Report!$G$4),"",IF(OR(J194*K194=1,K194-J194=1),'!'!$GJ$14,""))</f>
        <v/>
      </c>
      <c r="B194" s="366">
        <f>IF(A194="",0,COUNTIF($A$25:$A194,'!'!$GJ$14))</f>
        <v>0</v>
      </c>
      <c r="C194" s="392"/>
      <c r="D194" s="393"/>
      <c r="E194" s="394"/>
      <c r="F194" s="394"/>
      <c r="G194" s="394"/>
      <c r="H194" s="394"/>
      <c r="I194" s="370"/>
      <c r="J194" s="391">
        <f>IF(OR(Report!$G$4=C194,Report!$H$4=C194),1,0)</f>
        <v>0</v>
      </c>
      <c r="K194" s="366">
        <f>SUM($J$25:J194)</f>
        <v>2</v>
      </c>
    </row>
    <row r="195" spans="1:11" ht="14.5" x14ac:dyDescent="0.35">
      <c r="A195" s="29" t="str">
        <f>IF(OR(C195&gt;Report!$H$4,C195&lt;Report!$G$4),"",IF(OR(J195*K195=1,K195-J195=1),'!'!$GJ$14,""))</f>
        <v/>
      </c>
      <c r="B195" s="366">
        <f>IF(A195="",0,COUNTIF($A$25:$A195,'!'!$GJ$14))</f>
        <v>0</v>
      </c>
      <c r="C195" s="392"/>
      <c r="D195" s="393"/>
      <c r="E195" s="394"/>
      <c r="F195" s="394"/>
      <c r="G195" s="394"/>
      <c r="H195" s="394"/>
      <c r="I195" s="370"/>
      <c r="J195" s="391">
        <f>IF(OR(Report!$G$4=C195,Report!$H$4=C195),1,0)</f>
        <v>0</v>
      </c>
      <c r="K195" s="366">
        <f>SUM($J$25:J195)</f>
        <v>2</v>
      </c>
    </row>
    <row r="196" spans="1:11" ht="14.5" x14ac:dyDescent="0.35">
      <c r="A196" s="29" t="str">
        <f>IF(OR(C196&gt;Report!$H$4,C196&lt;Report!$G$4),"",IF(OR(J196*K196=1,K196-J196=1),'!'!$GJ$14,""))</f>
        <v/>
      </c>
      <c r="B196" s="366">
        <f>IF(A196="",0,COUNTIF($A$25:$A196,'!'!$GJ$14))</f>
        <v>0</v>
      </c>
      <c r="C196" s="392"/>
      <c r="D196" s="393"/>
      <c r="E196" s="394"/>
      <c r="F196" s="394"/>
      <c r="G196" s="394"/>
      <c r="H196" s="394"/>
      <c r="I196" s="370"/>
      <c r="J196" s="391">
        <f>IF(OR(Report!$G$4=C196,Report!$H$4=C196),1,0)</f>
        <v>0</v>
      </c>
      <c r="K196" s="366">
        <f>SUM($J$25:J196)</f>
        <v>2</v>
      </c>
    </row>
    <row r="197" spans="1:11" ht="14.5" x14ac:dyDescent="0.35">
      <c r="A197" s="29" t="str">
        <f>IF(OR(C197&gt;Report!$H$4,C197&lt;Report!$G$4),"",IF(OR(J197*K197=1,K197-J197=1),'!'!$GJ$14,""))</f>
        <v/>
      </c>
      <c r="B197" s="366">
        <f>IF(A197="",0,COUNTIF($A$25:$A197,'!'!$GJ$14))</f>
        <v>0</v>
      </c>
      <c r="C197" s="392"/>
      <c r="D197" s="393"/>
      <c r="E197" s="394"/>
      <c r="F197" s="394"/>
      <c r="G197" s="394"/>
      <c r="H197" s="394"/>
      <c r="I197" s="370"/>
      <c r="J197" s="391">
        <f>IF(OR(Report!$G$4=C197,Report!$H$4=C197),1,0)</f>
        <v>0</v>
      </c>
      <c r="K197" s="366">
        <f>SUM($J$25:J197)</f>
        <v>2</v>
      </c>
    </row>
    <row r="198" spans="1:11" ht="14.5" x14ac:dyDescent="0.35">
      <c r="A198" s="29" t="str">
        <f>IF(OR(C198&gt;Report!$H$4,C198&lt;Report!$G$4),"",IF(OR(J198*K198=1,K198-J198=1),'!'!$GJ$14,""))</f>
        <v/>
      </c>
      <c r="B198" s="366">
        <f>IF(A198="",0,COUNTIF($A$25:$A198,'!'!$GJ$14))</f>
        <v>0</v>
      </c>
      <c r="C198" s="392"/>
      <c r="D198" s="393"/>
      <c r="E198" s="394"/>
      <c r="F198" s="394"/>
      <c r="G198" s="394"/>
      <c r="H198" s="394"/>
      <c r="I198" s="370"/>
      <c r="J198" s="391">
        <f>IF(OR(Report!$G$4=C198,Report!$H$4=C198),1,0)</f>
        <v>0</v>
      </c>
      <c r="K198" s="366">
        <f>SUM($J$25:J198)</f>
        <v>2</v>
      </c>
    </row>
    <row r="199" spans="1:11" ht="14.5" x14ac:dyDescent="0.35">
      <c r="A199" s="29" t="str">
        <f>IF(OR(C199&gt;Report!$H$4,C199&lt;Report!$G$4),"",IF(OR(J199*K199=1,K199-J199=1),'!'!$GJ$14,""))</f>
        <v/>
      </c>
      <c r="B199" s="366">
        <f>IF(A199="",0,COUNTIF($A$25:$A199,'!'!$GJ$14))</f>
        <v>0</v>
      </c>
      <c r="C199" s="392"/>
      <c r="D199" s="393"/>
      <c r="E199" s="394"/>
      <c r="F199" s="394"/>
      <c r="G199" s="394"/>
      <c r="H199" s="394"/>
      <c r="I199" s="370"/>
      <c r="J199" s="391">
        <f>IF(OR(Report!$G$4=C199,Report!$H$4=C199),1,0)</f>
        <v>0</v>
      </c>
      <c r="K199" s="366">
        <f>SUM($J$25:J199)</f>
        <v>2</v>
      </c>
    </row>
    <row r="200" spans="1:11" ht="14.5" x14ac:dyDescent="0.35">
      <c r="A200" s="29" t="str">
        <f>IF(OR(C200&gt;Report!$H$4,C200&lt;Report!$G$4),"",IF(OR(J200*K200=1,K200-J200=1),'!'!$GJ$14,""))</f>
        <v/>
      </c>
      <c r="B200" s="366">
        <f>IF(A200="",0,COUNTIF($A$25:$A200,'!'!$GJ$14))</f>
        <v>0</v>
      </c>
      <c r="C200" s="392"/>
      <c r="D200" s="393"/>
      <c r="E200" s="394"/>
      <c r="F200" s="394"/>
      <c r="G200" s="394"/>
      <c r="H200" s="394"/>
      <c r="I200" s="370"/>
      <c r="J200" s="391">
        <f>IF(OR(Report!$G$4=C200,Report!$H$4=C200),1,0)</f>
        <v>0</v>
      </c>
      <c r="K200" s="366">
        <f>SUM($J$25:J200)</f>
        <v>2</v>
      </c>
    </row>
    <row r="201" spans="1:11" ht="14.5" x14ac:dyDescent="0.35">
      <c r="A201" s="29" t="str">
        <f>IF(OR(C201&gt;Report!$H$4,C201&lt;Report!$G$4),"",IF(OR(J201*K201=1,K201-J201=1),'!'!$GJ$14,""))</f>
        <v/>
      </c>
      <c r="B201" s="366">
        <f>IF(A201="",0,COUNTIF($A$25:$A201,'!'!$GJ$14))</f>
        <v>0</v>
      </c>
      <c r="C201" s="392"/>
      <c r="D201" s="393"/>
      <c r="E201" s="394"/>
      <c r="F201" s="394"/>
      <c r="G201" s="394"/>
      <c r="H201" s="394"/>
      <c r="I201" s="370"/>
      <c r="J201" s="391">
        <f>IF(OR(Report!$G$4=C201,Report!$H$4=C201),1,0)</f>
        <v>0</v>
      </c>
      <c r="K201" s="366">
        <f>SUM($J$25:J201)</f>
        <v>2</v>
      </c>
    </row>
    <row r="202" spans="1:11" ht="14.5" x14ac:dyDescent="0.35">
      <c r="A202" s="29" t="str">
        <f>IF(OR(C202&gt;Report!$H$4,C202&lt;Report!$G$4),"",IF(OR(J202*K202=1,K202-J202=1),'!'!$GJ$14,""))</f>
        <v/>
      </c>
      <c r="B202" s="366">
        <f>IF(A202="",0,COUNTIF($A$25:$A202,'!'!$GJ$14))</f>
        <v>0</v>
      </c>
      <c r="C202" s="392"/>
      <c r="D202" s="393"/>
      <c r="E202" s="394"/>
      <c r="F202" s="394"/>
      <c r="G202" s="394"/>
      <c r="H202" s="394"/>
      <c r="I202" s="370"/>
      <c r="J202" s="391">
        <f>IF(OR(Report!$G$4=C202,Report!$H$4=C202),1,0)</f>
        <v>0</v>
      </c>
      <c r="K202" s="366">
        <f>SUM($J$25:J202)</f>
        <v>2</v>
      </c>
    </row>
    <row r="203" spans="1:11" ht="14.5" x14ac:dyDescent="0.35">
      <c r="A203" s="29" t="str">
        <f>IF(OR(C203&gt;Report!$H$4,C203&lt;Report!$G$4),"",IF(OR(J203*K203=1,K203-J203=1),'!'!$GJ$14,""))</f>
        <v/>
      </c>
      <c r="B203" s="366">
        <f>IF(A203="",0,COUNTIF($A$25:$A203,'!'!$GJ$14))</f>
        <v>0</v>
      </c>
      <c r="C203" s="392"/>
      <c r="D203" s="393"/>
      <c r="E203" s="394"/>
      <c r="F203" s="394"/>
      <c r="G203" s="394"/>
      <c r="H203" s="394"/>
      <c r="I203" s="370"/>
      <c r="J203" s="391">
        <f>IF(OR(Report!$G$4=C203,Report!$H$4=C203),1,0)</f>
        <v>0</v>
      </c>
      <c r="K203" s="366">
        <f>SUM($J$25:J203)</f>
        <v>2</v>
      </c>
    </row>
    <row r="204" spans="1:11" ht="14.5" x14ac:dyDescent="0.35">
      <c r="A204" s="29" t="str">
        <f>IF(OR(C204&gt;Report!$H$4,C204&lt;Report!$G$4),"",IF(OR(J204*K204=1,K204-J204=1),'!'!$GJ$14,""))</f>
        <v/>
      </c>
      <c r="B204" s="366">
        <f>IF(A204="",0,COUNTIF($A$25:$A204,'!'!$GJ$14))</f>
        <v>0</v>
      </c>
      <c r="C204" s="392"/>
      <c r="D204" s="393"/>
      <c r="E204" s="394"/>
      <c r="F204" s="394"/>
      <c r="G204" s="394"/>
      <c r="H204" s="394"/>
      <c r="I204" s="370"/>
      <c r="J204" s="391">
        <f>IF(OR(Report!$G$4=C204,Report!$H$4=C204),1,0)</f>
        <v>0</v>
      </c>
      <c r="K204" s="366">
        <f>SUM($J$25:J204)</f>
        <v>2</v>
      </c>
    </row>
    <row r="205" spans="1:11" ht="14.5" x14ac:dyDescent="0.35">
      <c r="A205" s="29" t="str">
        <f>IF(OR(C205&gt;Report!$H$4,C205&lt;Report!$G$4),"",IF(OR(J205*K205=1,K205-J205=1),'!'!$GJ$14,""))</f>
        <v/>
      </c>
      <c r="B205" s="366">
        <f>IF(A205="",0,COUNTIF($A$25:$A205,'!'!$GJ$14))</f>
        <v>0</v>
      </c>
      <c r="C205" s="392"/>
      <c r="D205" s="393"/>
      <c r="E205" s="394"/>
      <c r="F205" s="394"/>
      <c r="G205" s="394"/>
      <c r="H205" s="394"/>
      <c r="I205" s="370"/>
      <c r="J205" s="391">
        <f>IF(OR(Report!$G$4=C205,Report!$H$4=C205),1,0)</f>
        <v>0</v>
      </c>
      <c r="K205" s="366">
        <f>SUM($J$25:J205)</f>
        <v>2</v>
      </c>
    </row>
    <row r="206" spans="1:11" ht="14.5" x14ac:dyDescent="0.35">
      <c r="A206" s="29" t="str">
        <f>IF(OR(C206&gt;Report!$H$4,C206&lt;Report!$G$4),"",IF(OR(J206*K206=1,K206-J206=1),'!'!$GJ$14,""))</f>
        <v/>
      </c>
      <c r="B206" s="366">
        <f>IF(A206="",0,COUNTIF($A$25:$A206,'!'!$GJ$14))</f>
        <v>0</v>
      </c>
      <c r="C206" s="392"/>
      <c r="D206" s="393"/>
      <c r="E206" s="394"/>
      <c r="F206" s="394"/>
      <c r="G206" s="394"/>
      <c r="H206" s="394"/>
      <c r="I206" s="370"/>
      <c r="J206" s="391">
        <f>IF(OR(Report!$G$4=C206,Report!$H$4=C206),1,0)</f>
        <v>0</v>
      </c>
      <c r="K206" s="366">
        <f>SUM($J$25:J206)</f>
        <v>2</v>
      </c>
    </row>
    <row r="207" spans="1:11" ht="14.5" x14ac:dyDescent="0.35">
      <c r="A207" s="29" t="str">
        <f>IF(OR(C207&gt;Report!$H$4,C207&lt;Report!$G$4),"",IF(OR(J207*K207=1,K207-J207=1),'!'!$GJ$14,""))</f>
        <v/>
      </c>
      <c r="B207" s="366">
        <f>IF(A207="",0,COUNTIF($A$25:$A207,'!'!$GJ$14))</f>
        <v>0</v>
      </c>
      <c r="C207" s="392"/>
      <c r="D207" s="393"/>
      <c r="E207" s="394"/>
      <c r="F207" s="394"/>
      <c r="G207" s="394"/>
      <c r="H207" s="394"/>
      <c r="I207" s="370"/>
      <c r="J207" s="391">
        <f>IF(OR(Report!$G$4=C207,Report!$H$4=C207),1,0)</f>
        <v>0</v>
      </c>
      <c r="K207" s="366">
        <f>SUM($J$25:J207)</f>
        <v>2</v>
      </c>
    </row>
    <row r="208" spans="1:11" ht="14.5" x14ac:dyDescent="0.35">
      <c r="A208" s="29" t="str">
        <f>IF(OR(C208&gt;Report!$H$4,C208&lt;Report!$G$4),"",IF(OR(J208*K208=1,K208-J208=1),'!'!$GJ$14,""))</f>
        <v/>
      </c>
      <c r="B208" s="366">
        <f>IF(A208="",0,COUNTIF($A$25:$A208,'!'!$GJ$14))</f>
        <v>0</v>
      </c>
      <c r="C208" s="392"/>
      <c r="D208" s="393"/>
      <c r="E208" s="394"/>
      <c r="F208" s="394"/>
      <c r="G208" s="394"/>
      <c r="H208" s="394"/>
      <c r="I208" s="370"/>
      <c r="J208" s="391">
        <f>IF(OR(Report!$G$4=C208,Report!$H$4=C208),1,0)</f>
        <v>0</v>
      </c>
      <c r="K208" s="366">
        <f>SUM($J$25:J208)</f>
        <v>2</v>
      </c>
    </row>
    <row r="209" spans="1:11" ht="14.5" x14ac:dyDescent="0.35">
      <c r="A209" s="29" t="str">
        <f>IF(OR(C209&gt;Report!$H$4,C209&lt;Report!$G$4),"",IF(OR(J209*K209=1,K209-J209=1),'!'!$GJ$14,""))</f>
        <v/>
      </c>
      <c r="B209" s="366">
        <f>IF(A209="",0,COUNTIF($A$25:$A209,'!'!$GJ$14))</f>
        <v>0</v>
      </c>
      <c r="C209" s="392"/>
      <c r="D209" s="393"/>
      <c r="E209" s="394"/>
      <c r="F209" s="394"/>
      <c r="G209" s="394"/>
      <c r="H209" s="394"/>
      <c r="I209" s="370"/>
      <c r="J209" s="391">
        <f>IF(OR(Report!$G$4=C209,Report!$H$4=C209),1,0)</f>
        <v>0</v>
      </c>
      <c r="K209" s="366">
        <f>SUM($J$25:J209)</f>
        <v>2</v>
      </c>
    </row>
    <row r="210" spans="1:11" ht="14.5" x14ac:dyDescent="0.35">
      <c r="A210" s="29" t="str">
        <f>IF(OR(C210&gt;Report!$H$4,C210&lt;Report!$G$4),"",IF(OR(J210*K210=1,K210-J210=1),'!'!$GJ$14,""))</f>
        <v/>
      </c>
      <c r="B210" s="366">
        <f>IF(A210="",0,COUNTIF($A$25:$A210,'!'!$GJ$14))</f>
        <v>0</v>
      </c>
      <c r="C210" s="392"/>
      <c r="D210" s="393"/>
      <c r="E210" s="394"/>
      <c r="F210" s="394"/>
      <c r="G210" s="394"/>
      <c r="H210" s="394"/>
      <c r="I210" s="370"/>
      <c r="J210" s="391">
        <f>IF(OR(Report!$G$4=C210,Report!$H$4=C210),1,0)</f>
        <v>0</v>
      </c>
      <c r="K210" s="366">
        <f>SUM($J$25:J210)</f>
        <v>2</v>
      </c>
    </row>
    <row r="211" spans="1:11" ht="14.5" x14ac:dyDescent="0.35">
      <c r="A211" s="29" t="str">
        <f>IF(OR(C211&gt;Report!$H$4,C211&lt;Report!$G$4),"",IF(OR(J211*K211=1,K211-J211=1),'!'!$GJ$14,""))</f>
        <v/>
      </c>
      <c r="B211" s="366">
        <f>IF(A211="",0,COUNTIF($A$25:$A211,'!'!$GJ$14))</f>
        <v>0</v>
      </c>
      <c r="C211" s="392"/>
      <c r="D211" s="393"/>
      <c r="E211" s="394"/>
      <c r="F211" s="394"/>
      <c r="G211" s="394"/>
      <c r="H211" s="394"/>
      <c r="I211" s="370"/>
      <c r="J211" s="391">
        <f>IF(OR(Report!$G$4=C211,Report!$H$4=C211),1,0)</f>
        <v>0</v>
      </c>
      <c r="K211" s="366">
        <f>SUM($J$25:J211)</f>
        <v>2</v>
      </c>
    </row>
    <row r="212" spans="1:11" ht="14.5" x14ac:dyDescent="0.35">
      <c r="A212" s="29" t="str">
        <f>IF(OR(C212&gt;Report!$H$4,C212&lt;Report!$G$4),"",IF(OR(J212*K212=1,K212-J212=1),'!'!$GJ$14,""))</f>
        <v/>
      </c>
      <c r="B212" s="366">
        <f>IF(A212="",0,COUNTIF($A$25:$A212,'!'!$GJ$14))</f>
        <v>0</v>
      </c>
      <c r="C212" s="392"/>
      <c r="D212" s="393"/>
      <c r="E212" s="394"/>
      <c r="F212" s="394"/>
      <c r="G212" s="394"/>
      <c r="H212" s="394"/>
      <c r="I212" s="370"/>
      <c r="J212" s="391">
        <f>IF(OR(Report!$G$4=C212,Report!$H$4=C212),1,0)</f>
        <v>0</v>
      </c>
      <c r="K212" s="366">
        <f>SUM($J$25:J212)</f>
        <v>2</v>
      </c>
    </row>
    <row r="213" spans="1:11" ht="14.5" x14ac:dyDescent="0.35">
      <c r="A213" s="29" t="str">
        <f>IF(OR(C213&gt;Report!$H$4,C213&lt;Report!$G$4),"",IF(OR(J213*K213=1,K213-J213=1),'!'!$GJ$14,""))</f>
        <v/>
      </c>
      <c r="B213" s="366">
        <f>IF(A213="",0,COUNTIF($A$25:$A213,'!'!$GJ$14))</f>
        <v>0</v>
      </c>
      <c r="C213" s="392"/>
      <c r="D213" s="393"/>
      <c r="E213" s="394"/>
      <c r="F213" s="394"/>
      <c r="G213" s="394"/>
      <c r="H213" s="394"/>
      <c r="I213" s="370"/>
      <c r="J213" s="391">
        <f>IF(OR(Report!$G$4=C213,Report!$H$4=C213),1,0)</f>
        <v>0</v>
      </c>
      <c r="K213" s="366">
        <f>SUM($J$25:J213)</f>
        <v>2</v>
      </c>
    </row>
    <row r="214" spans="1:11" ht="14.5" x14ac:dyDescent="0.35">
      <c r="A214" s="29" t="str">
        <f>IF(OR(C214&gt;Report!$H$4,C214&lt;Report!$G$4),"",IF(OR(J214*K214=1,K214-J214=1),'!'!$GJ$14,""))</f>
        <v/>
      </c>
      <c r="B214" s="366">
        <f>IF(A214="",0,COUNTIF($A$25:$A214,'!'!$GJ$14))</f>
        <v>0</v>
      </c>
      <c r="C214" s="392"/>
      <c r="D214" s="393"/>
      <c r="E214" s="394"/>
      <c r="F214" s="394"/>
      <c r="G214" s="394"/>
      <c r="H214" s="394"/>
      <c r="I214" s="370"/>
      <c r="J214" s="391">
        <f>IF(OR(Report!$G$4=C214,Report!$H$4=C214),1,0)</f>
        <v>0</v>
      </c>
      <c r="K214" s="366">
        <f>SUM($J$25:J214)</f>
        <v>2</v>
      </c>
    </row>
    <row r="215" spans="1:11" ht="14.5" x14ac:dyDescent="0.35">
      <c r="A215" s="29" t="str">
        <f>IF(OR(C215&gt;Report!$H$4,C215&lt;Report!$G$4),"",IF(OR(J215*K215=1,K215-J215=1),'!'!$GJ$14,""))</f>
        <v/>
      </c>
      <c r="B215" s="366">
        <f>IF(A215="",0,COUNTIF($A$25:$A215,'!'!$GJ$14))</f>
        <v>0</v>
      </c>
      <c r="C215" s="392"/>
      <c r="D215" s="393"/>
      <c r="E215" s="394"/>
      <c r="F215" s="394"/>
      <c r="G215" s="394"/>
      <c r="H215" s="394"/>
      <c r="I215" s="370"/>
      <c r="J215" s="391">
        <f>IF(OR(Report!$G$4=C215,Report!$H$4=C215),1,0)</f>
        <v>0</v>
      </c>
      <c r="K215" s="366">
        <f>SUM($J$25:J215)</f>
        <v>2</v>
      </c>
    </row>
    <row r="216" spans="1:11" ht="14.5" x14ac:dyDescent="0.35">
      <c r="A216" s="29" t="str">
        <f>IF(OR(C216&gt;Report!$H$4,C216&lt;Report!$G$4),"",IF(OR(J216*K216=1,K216-J216=1),'!'!$GJ$14,""))</f>
        <v/>
      </c>
      <c r="B216" s="366">
        <f>IF(A216="",0,COUNTIF($A$25:$A216,'!'!$GJ$14))</f>
        <v>0</v>
      </c>
      <c r="C216" s="392"/>
      <c r="D216" s="393"/>
      <c r="E216" s="394"/>
      <c r="F216" s="394"/>
      <c r="G216" s="394"/>
      <c r="H216" s="394"/>
      <c r="I216" s="370"/>
      <c r="J216" s="391">
        <f>IF(OR(Report!$G$4=C216,Report!$H$4=C216),1,0)</f>
        <v>0</v>
      </c>
      <c r="K216" s="366">
        <f>SUM($J$25:J216)</f>
        <v>2</v>
      </c>
    </row>
    <row r="217" spans="1:11" ht="14.5" x14ac:dyDescent="0.35">
      <c r="A217" s="29" t="str">
        <f>IF(OR(C217&gt;Report!$H$4,C217&lt;Report!$G$4),"",IF(OR(J217*K217=1,K217-J217=1),'!'!$GJ$14,""))</f>
        <v/>
      </c>
      <c r="B217" s="366">
        <f>IF(A217="",0,COUNTIF($A$25:$A217,'!'!$GJ$14))</f>
        <v>0</v>
      </c>
      <c r="C217" s="392"/>
      <c r="D217" s="393"/>
      <c r="E217" s="394"/>
      <c r="F217" s="394"/>
      <c r="G217" s="394"/>
      <c r="H217" s="394"/>
      <c r="I217" s="370"/>
      <c r="J217" s="391">
        <f>IF(OR(Report!$G$4=C217,Report!$H$4=C217),1,0)</f>
        <v>0</v>
      </c>
      <c r="K217" s="366">
        <f>SUM($J$25:J217)</f>
        <v>2</v>
      </c>
    </row>
    <row r="218" spans="1:11" ht="14.5" x14ac:dyDescent="0.35">
      <c r="A218" s="29" t="str">
        <f>IF(OR(C218&gt;Report!$H$4,C218&lt;Report!$G$4),"",IF(OR(J218*K218=1,K218-J218=1),'!'!$GJ$14,""))</f>
        <v/>
      </c>
      <c r="B218" s="366">
        <f>IF(A218="",0,COUNTIF($A$25:$A218,'!'!$GJ$14))</f>
        <v>0</v>
      </c>
      <c r="C218" s="392"/>
      <c r="D218" s="393"/>
      <c r="E218" s="394"/>
      <c r="F218" s="394"/>
      <c r="G218" s="394"/>
      <c r="H218" s="394"/>
      <c r="I218" s="370"/>
      <c r="J218" s="391">
        <f>IF(OR(Report!$G$4=C218,Report!$H$4=C218),1,0)</f>
        <v>0</v>
      </c>
      <c r="K218" s="366">
        <f>SUM($J$25:J218)</f>
        <v>2</v>
      </c>
    </row>
    <row r="219" spans="1:11" ht="14.5" x14ac:dyDescent="0.35">
      <c r="A219" s="29" t="str">
        <f>IF(OR(C219&gt;Report!$H$4,C219&lt;Report!$G$4),"",IF(OR(J219*K219=1,K219-J219=1),'!'!$GJ$14,""))</f>
        <v/>
      </c>
      <c r="B219" s="366">
        <f>IF(A219="",0,COUNTIF($A$25:$A219,'!'!$GJ$14))</f>
        <v>0</v>
      </c>
      <c r="C219" s="392"/>
      <c r="D219" s="393"/>
      <c r="E219" s="394"/>
      <c r="F219" s="394"/>
      <c r="G219" s="394"/>
      <c r="H219" s="394"/>
      <c r="I219" s="370"/>
      <c r="J219" s="391">
        <f>IF(OR(Report!$G$4=C219,Report!$H$4=C219),1,0)</f>
        <v>0</v>
      </c>
      <c r="K219" s="366">
        <f>SUM($J$25:J219)</f>
        <v>2</v>
      </c>
    </row>
    <row r="220" spans="1:11" ht="14.5" x14ac:dyDescent="0.35">
      <c r="A220" s="29" t="str">
        <f>IF(OR(C220&gt;Report!$H$4,C220&lt;Report!$G$4),"",IF(OR(J220*K220=1,K220-J220=1),'!'!$GJ$14,""))</f>
        <v/>
      </c>
      <c r="B220" s="366">
        <f>IF(A220="",0,COUNTIF($A$25:$A220,'!'!$GJ$14))</f>
        <v>0</v>
      </c>
      <c r="C220" s="392"/>
      <c r="D220" s="393"/>
      <c r="E220" s="394"/>
      <c r="F220" s="394"/>
      <c r="G220" s="394"/>
      <c r="H220" s="394"/>
      <c r="I220" s="370"/>
      <c r="J220" s="391">
        <f>IF(OR(Report!$G$4=C220,Report!$H$4=C220),1,0)</f>
        <v>0</v>
      </c>
      <c r="K220" s="366">
        <f>SUM($J$25:J220)</f>
        <v>2</v>
      </c>
    </row>
    <row r="221" spans="1:11" ht="14.5" x14ac:dyDescent="0.35">
      <c r="A221" s="29" t="str">
        <f>IF(OR(C221&gt;Report!$H$4,C221&lt;Report!$G$4),"",IF(OR(J221*K221=1,K221-J221=1),'!'!$GJ$14,""))</f>
        <v/>
      </c>
      <c r="B221" s="366">
        <f>IF(A221="",0,COUNTIF($A$25:$A221,'!'!$GJ$14))</f>
        <v>0</v>
      </c>
      <c r="C221" s="392"/>
      <c r="D221" s="393"/>
      <c r="E221" s="394"/>
      <c r="F221" s="394"/>
      <c r="G221" s="394"/>
      <c r="H221" s="394"/>
      <c r="I221" s="370"/>
      <c r="J221" s="391">
        <f>IF(OR(Report!$G$4=C221,Report!$H$4=C221),1,0)</f>
        <v>0</v>
      </c>
      <c r="K221" s="366">
        <f>SUM($J$25:J221)</f>
        <v>2</v>
      </c>
    </row>
    <row r="222" spans="1:11" ht="14.5" x14ac:dyDescent="0.35">
      <c r="A222" s="29" t="str">
        <f>IF(OR(C222&gt;Report!$H$4,C222&lt;Report!$G$4),"",IF(OR(J222*K222=1,K222-J222=1),'!'!$GJ$14,""))</f>
        <v/>
      </c>
      <c r="B222" s="366">
        <f>IF(A222="",0,COUNTIF($A$25:$A222,'!'!$GJ$14))</f>
        <v>0</v>
      </c>
      <c r="C222" s="392"/>
      <c r="D222" s="393"/>
      <c r="E222" s="394"/>
      <c r="F222" s="394"/>
      <c r="G222" s="394"/>
      <c r="H222" s="394"/>
      <c r="I222" s="370"/>
      <c r="J222" s="391">
        <f>IF(OR(Report!$G$4=C222,Report!$H$4=C222),1,0)</f>
        <v>0</v>
      </c>
      <c r="K222" s="366">
        <f>SUM($J$25:J222)</f>
        <v>2</v>
      </c>
    </row>
    <row r="223" spans="1:11" ht="14.5" x14ac:dyDescent="0.35">
      <c r="A223" s="29" t="str">
        <f>IF(OR(C223&gt;Report!$H$4,C223&lt;Report!$G$4),"",IF(OR(J223*K223=1,K223-J223=1),'!'!$GJ$14,""))</f>
        <v/>
      </c>
      <c r="B223" s="366">
        <f>IF(A223="",0,COUNTIF($A$25:$A223,'!'!$GJ$14))</f>
        <v>0</v>
      </c>
      <c r="C223" s="392"/>
      <c r="D223" s="393"/>
      <c r="E223" s="394"/>
      <c r="F223" s="394"/>
      <c r="G223" s="394"/>
      <c r="H223" s="394"/>
      <c r="I223" s="370"/>
      <c r="J223" s="391">
        <f>IF(OR(Report!$G$4=C223,Report!$H$4=C223),1,0)</f>
        <v>0</v>
      </c>
      <c r="K223" s="366">
        <f>SUM($J$25:J223)</f>
        <v>2</v>
      </c>
    </row>
    <row r="224" spans="1:11" ht="14.5" x14ac:dyDescent="0.35">
      <c r="A224" s="29" t="str">
        <f>IF(OR(C224&gt;Report!$H$4,C224&lt;Report!$G$4),"",IF(OR(J224*K224=1,K224-J224=1),'!'!$GJ$14,""))</f>
        <v/>
      </c>
      <c r="B224" s="366">
        <f>IF(A224="",0,COUNTIF($A$25:$A224,'!'!$GJ$14))</f>
        <v>0</v>
      </c>
      <c r="C224" s="392"/>
      <c r="D224" s="393"/>
      <c r="E224" s="394"/>
      <c r="F224" s="394"/>
      <c r="G224" s="394"/>
      <c r="H224" s="394"/>
      <c r="I224" s="370"/>
      <c r="J224" s="391">
        <f>IF(OR(Report!$G$4=C224,Report!$H$4=C224),1,0)</f>
        <v>0</v>
      </c>
      <c r="K224" s="366">
        <f>SUM($J$25:J224)</f>
        <v>2</v>
      </c>
    </row>
    <row r="225" spans="1:11" ht="14.5" x14ac:dyDescent="0.35">
      <c r="A225" s="29" t="str">
        <f>IF(OR(C225&gt;Report!$H$4,C225&lt;Report!$G$4),"",IF(OR(J225*K225=1,K225-J225=1),'!'!$GJ$14,""))</f>
        <v/>
      </c>
      <c r="B225" s="366">
        <f>IF(A225="",0,COUNTIF($A$25:$A225,'!'!$GJ$14))</f>
        <v>0</v>
      </c>
      <c r="C225" s="392"/>
      <c r="D225" s="393"/>
      <c r="E225" s="394"/>
      <c r="F225" s="394"/>
      <c r="G225" s="394"/>
      <c r="H225" s="394"/>
      <c r="I225" s="370"/>
      <c r="J225" s="391">
        <f>IF(OR(Report!$G$4=C225,Report!$H$4=C225),1,0)</f>
        <v>0</v>
      </c>
      <c r="K225" s="366">
        <f>SUM($J$25:J225)</f>
        <v>2</v>
      </c>
    </row>
    <row r="226" spans="1:11" ht="14.5" x14ac:dyDescent="0.35">
      <c r="A226" s="29" t="str">
        <f>IF(OR(C226&gt;Report!$H$4,C226&lt;Report!$G$4),"",IF(OR(J226*K226=1,K226-J226=1),'!'!$GJ$14,""))</f>
        <v/>
      </c>
      <c r="B226" s="366">
        <f>IF(A226="",0,COUNTIF($A$25:$A226,'!'!$GJ$14))</f>
        <v>0</v>
      </c>
      <c r="C226" s="392"/>
      <c r="D226" s="393"/>
      <c r="E226" s="394"/>
      <c r="F226" s="394"/>
      <c r="G226" s="394"/>
      <c r="H226" s="394"/>
      <c r="I226" s="370"/>
      <c r="J226" s="391">
        <f>IF(OR(Report!$G$4=C226,Report!$H$4=C226),1,0)</f>
        <v>0</v>
      </c>
      <c r="K226" s="366">
        <f>SUM($J$25:J226)</f>
        <v>2</v>
      </c>
    </row>
    <row r="227" spans="1:11" ht="14.5" x14ac:dyDescent="0.35">
      <c r="A227" s="29" t="str">
        <f>IF(OR(C227&gt;Report!$H$4,C227&lt;Report!$G$4),"",IF(OR(J227*K227=1,K227-J227=1),'!'!$GJ$14,""))</f>
        <v/>
      </c>
      <c r="B227" s="366">
        <f>IF(A227="",0,COUNTIF($A$25:$A227,'!'!$GJ$14))</f>
        <v>0</v>
      </c>
      <c r="C227" s="392"/>
      <c r="D227" s="393"/>
      <c r="E227" s="394"/>
      <c r="F227" s="394"/>
      <c r="G227" s="394"/>
      <c r="H227" s="394"/>
      <c r="I227" s="370"/>
      <c r="J227" s="391">
        <f>IF(OR(Report!$G$4=C227,Report!$H$4=C227),1,0)</f>
        <v>0</v>
      </c>
      <c r="K227" s="366">
        <f>SUM($J$25:J227)</f>
        <v>2</v>
      </c>
    </row>
    <row r="228" spans="1:11" ht="14.5" x14ac:dyDescent="0.35">
      <c r="A228" s="29" t="str">
        <f>IF(OR(C228&gt;Report!$H$4,C228&lt;Report!$G$4),"",IF(OR(J228*K228=1,K228-J228=1),'!'!$GJ$14,""))</f>
        <v/>
      </c>
      <c r="B228" s="366">
        <f>IF(A228="",0,COUNTIF($A$25:$A228,'!'!$GJ$14))</f>
        <v>0</v>
      </c>
      <c r="C228" s="392"/>
      <c r="D228" s="393"/>
      <c r="E228" s="394"/>
      <c r="F228" s="394"/>
      <c r="G228" s="394"/>
      <c r="H228" s="394"/>
      <c r="I228" s="370"/>
      <c r="J228" s="391">
        <f>IF(OR(Report!$G$4=C228,Report!$H$4=C228),1,0)</f>
        <v>0</v>
      </c>
      <c r="K228" s="366">
        <f>SUM($J$25:J228)</f>
        <v>2</v>
      </c>
    </row>
    <row r="229" spans="1:11" ht="14.5" x14ac:dyDescent="0.35">
      <c r="A229" s="29" t="str">
        <f>IF(OR(C229&gt;Report!$H$4,C229&lt;Report!$G$4),"",IF(OR(J229*K229=1,K229-J229=1),'!'!$GJ$14,""))</f>
        <v/>
      </c>
      <c r="B229" s="366">
        <f>IF(A229="",0,COUNTIF($A$25:$A229,'!'!$GJ$14))</f>
        <v>0</v>
      </c>
      <c r="C229" s="392"/>
      <c r="D229" s="393"/>
      <c r="E229" s="394"/>
      <c r="F229" s="394"/>
      <c r="G229" s="394"/>
      <c r="H229" s="394"/>
      <c r="I229" s="370"/>
      <c r="J229" s="391">
        <f>IF(OR(Report!$G$4=C229,Report!$H$4=C229),1,0)</f>
        <v>0</v>
      </c>
      <c r="K229" s="366">
        <f>SUM($J$25:J229)</f>
        <v>2</v>
      </c>
    </row>
    <row r="230" spans="1:11" ht="14.5" x14ac:dyDescent="0.35">
      <c r="A230" s="29" t="str">
        <f>IF(OR(C230&gt;Report!$H$4,C230&lt;Report!$G$4),"",IF(OR(J230*K230=1,K230-J230=1),'!'!$GJ$14,""))</f>
        <v/>
      </c>
      <c r="B230" s="366">
        <f>IF(A230="",0,COUNTIF($A$25:$A230,'!'!$GJ$14))</f>
        <v>0</v>
      </c>
      <c r="C230" s="392"/>
      <c r="D230" s="393"/>
      <c r="E230" s="394"/>
      <c r="F230" s="394"/>
      <c r="G230" s="394"/>
      <c r="H230" s="394"/>
      <c r="I230" s="370"/>
      <c r="J230" s="391">
        <f>IF(OR(Report!$G$4=C230,Report!$H$4=C230),1,0)</f>
        <v>0</v>
      </c>
      <c r="K230" s="366">
        <f>SUM($J$25:J230)</f>
        <v>2</v>
      </c>
    </row>
    <row r="231" spans="1:11" ht="14.5" x14ac:dyDescent="0.35">
      <c r="A231" s="29" t="str">
        <f>IF(OR(C231&gt;Report!$H$4,C231&lt;Report!$G$4),"",IF(OR(J231*K231=1,K231-J231=1),'!'!$GJ$14,""))</f>
        <v/>
      </c>
      <c r="B231" s="366">
        <f>IF(A231="",0,COUNTIF($A$25:$A231,'!'!$GJ$14))</f>
        <v>0</v>
      </c>
      <c r="C231" s="392"/>
      <c r="D231" s="393"/>
      <c r="E231" s="394"/>
      <c r="F231" s="394"/>
      <c r="G231" s="394"/>
      <c r="H231" s="394"/>
      <c r="I231" s="370"/>
      <c r="J231" s="391">
        <f>IF(OR(Report!$G$4=C231,Report!$H$4=C231),1,0)</f>
        <v>0</v>
      </c>
      <c r="K231" s="366">
        <f>SUM($J$25:J231)</f>
        <v>2</v>
      </c>
    </row>
    <row r="232" spans="1:11" ht="14.5" x14ac:dyDescent="0.35">
      <c r="A232" s="29" t="str">
        <f>IF(OR(C232&gt;Report!$H$4,C232&lt;Report!$G$4),"",IF(OR(J232*K232=1,K232-J232=1),'!'!$GJ$14,""))</f>
        <v/>
      </c>
      <c r="B232" s="366">
        <f>IF(A232="",0,COUNTIF($A$25:$A232,'!'!$GJ$14))</f>
        <v>0</v>
      </c>
      <c r="C232" s="392"/>
      <c r="D232" s="393"/>
      <c r="E232" s="394"/>
      <c r="F232" s="394"/>
      <c r="G232" s="394"/>
      <c r="H232" s="394"/>
      <c r="I232" s="370"/>
      <c r="J232" s="391">
        <f>IF(OR(Report!$G$4=C232,Report!$H$4=C232),1,0)</f>
        <v>0</v>
      </c>
      <c r="K232" s="366">
        <f>SUM($J$25:J232)</f>
        <v>2</v>
      </c>
    </row>
    <row r="233" spans="1:11" ht="14.5" x14ac:dyDescent="0.35">
      <c r="A233" s="29" t="str">
        <f>IF(OR(C233&gt;Report!$H$4,C233&lt;Report!$G$4),"",IF(OR(J233*K233=1,K233-J233=1),'!'!$GJ$14,""))</f>
        <v/>
      </c>
      <c r="B233" s="366">
        <f>IF(A233="",0,COUNTIF($A$25:$A233,'!'!$GJ$14))</f>
        <v>0</v>
      </c>
      <c r="C233" s="392"/>
      <c r="D233" s="393"/>
      <c r="E233" s="394"/>
      <c r="F233" s="394"/>
      <c r="G233" s="394"/>
      <c r="H233" s="394"/>
      <c r="I233" s="370"/>
      <c r="J233" s="391">
        <f>IF(OR(Report!$G$4=C233,Report!$H$4=C233),1,0)</f>
        <v>0</v>
      </c>
      <c r="K233" s="366">
        <f>SUM($J$25:J233)</f>
        <v>2</v>
      </c>
    </row>
    <row r="234" spans="1:11" ht="14.5" x14ac:dyDescent="0.35">
      <c r="A234" s="29" t="str">
        <f>IF(OR(C234&gt;Report!$H$4,C234&lt;Report!$G$4),"",IF(OR(J234*K234=1,K234-J234=1),'!'!$GJ$14,""))</f>
        <v/>
      </c>
      <c r="B234" s="366">
        <f>IF(A234="",0,COUNTIF($A$25:$A234,'!'!$GJ$14))</f>
        <v>0</v>
      </c>
      <c r="C234" s="392"/>
      <c r="D234" s="393"/>
      <c r="E234" s="394"/>
      <c r="F234" s="394"/>
      <c r="G234" s="394"/>
      <c r="H234" s="394"/>
      <c r="I234" s="370"/>
      <c r="J234" s="391">
        <f>IF(OR(Report!$G$4=C234,Report!$H$4=C234),1,0)</f>
        <v>0</v>
      </c>
      <c r="K234" s="366">
        <f>SUM($J$25:J234)</f>
        <v>2</v>
      </c>
    </row>
    <row r="235" spans="1:11" ht="14.5" x14ac:dyDescent="0.35">
      <c r="A235" s="29" t="str">
        <f>IF(OR(C235&gt;Report!$H$4,C235&lt;Report!$G$4),"",IF(OR(J235*K235=1,K235-J235=1),'!'!$GJ$14,""))</f>
        <v/>
      </c>
      <c r="B235" s="366">
        <f>IF(A235="",0,COUNTIF($A$25:$A235,'!'!$GJ$14))</f>
        <v>0</v>
      </c>
      <c r="C235" s="392"/>
      <c r="D235" s="393"/>
      <c r="E235" s="394"/>
      <c r="F235" s="394"/>
      <c r="G235" s="394"/>
      <c r="H235" s="394"/>
      <c r="I235" s="370"/>
      <c r="J235" s="391">
        <f>IF(OR(Report!$G$4=C235,Report!$H$4=C235),1,0)</f>
        <v>0</v>
      </c>
      <c r="K235" s="366">
        <f>SUM($J$25:J235)</f>
        <v>2</v>
      </c>
    </row>
    <row r="236" spans="1:11" ht="14.5" x14ac:dyDescent="0.35">
      <c r="A236" s="29" t="str">
        <f>IF(OR(C236&gt;Report!$H$4,C236&lt;Report!$G$4),"",IF(OR(J236*K236=1,K236-J236=1),'!'!$GJ$14,""))</f>
        <v/>
      </c>
      <c r="B236" s="366">
        <f>IF(A236="",0,COUNTIF($A$25:$A236,'!'!$GJ$14))</f>
        <v>0</v>
      </c>
      <c r="C236" s="392"/>
      <c r="D236" s="393"/>
      <c r="E236" s="394"/>
      <c r="F236" s="394"/>
      <c r="G236" s="394"/>
      <c r="H236" s="394"/>
      <c r="I236" s="370"/>
      <c r="J236" s="391">
        <f>IF(OR(Report!$G$4=C236,Report!$H$4=C236),1,0)</f>
        <v>0</v>
      </c>
      <c r="K236" s="366">
        <f>SUM($J$25:J236)</f>
        <v>2</v>
      </c>
    </row>
    <row r="237" spans="1:11" ht="14.5" x14ac:dyDescent="0.35">
      <c r="A237" s="29" t="str">
        <f>IF(OR(C237&gt;Report!$H$4,C237&lt;Report!$G$4),"",IF(OR(J237*K237=1,K237-J237=1),'!'!$GJ$14,""))</f>
        <v/>
      </c>
      <c r="B237" s="366">
        <f>IF(A237="",0,COUNTIF($A$25:$A237,'!'!$GJ$14))</f>
        <v>0</v>
      </c>
      <c r="C237" s="392"/>
      <c r="D237" s="393"/>
      <c r="E237" s="394"/>
      <c r="F237" s="394"/>
      <c r="G237" s="394"/>
      <c r="H237" s="394"/>
      <c r="I237" s="370"/>
      <c r="J237" s="391">
        <f>IF(OR(Report!$G$4=C237,Report!$H$4=C237),1,0)</f>
        <v>0</v>
      </c>
      <c r="K237" s="366">
        <f>SUM($J$25:J237)</f>
        <v>2</v>
      </c>
    </row>
    <row r="238" spans="1:11" ht="14.5" x14ac:dyDescent="0.35">
      <c r="A238" s="29" t="str">
        <f>IF(OR(C238&gt;Report!$H$4,C238&lt;Report!$G$4),"",IF(OR(J238*K238=1,K238-J238=1),'!'!$GJ$14,""))</f>
        <v/>
      </c>
      <c r="B238" s="366">
        <f>IF(A238="",0,COUNTIF($A$25:$A238,'!'!$GJ$14))</f>
        <v>0</v>
      </c>
      <c r="C238" s="392"/>
      <c r="D238" s="393"/>
      <c r="E238" s="394"/>
      <c r="F238" s="394"/>
      <c r="G238" s="394"/>
      <c r="H238" s="394"/>
      <c r="I238" s="370"/>
      <c r="J238" s="391">
        <f>IF(OR(Report!$G$4=C238,Report!$H$4=C238),1,0)</f>
        <v>0</v>
      </c>
      <c r="K238" s="366">
        <f>SUM($J$25:J238)</f>
        <v>2</v>
      </c>
    </row>
    <row r="239" spans="1:11" ht="14.5" x14ac:dyDescent="0.35">
      <c r="A239" s="29" t="str">
        <f>IF(OR(C239&gt;Report!$H$4,C239&lt;Report!$G$4),"",IF(OR(J239*K239=1,K239-J239=1),'!'!$GJ$14,""))</f>
        <v/>
      </c>
      <c r="B239" s="366">
        <f>IF(A239="",0,COUNTIF($A$25:$A239,'!'!$GJ$14))</f>
        <v>0</v>
      </c>
      <c r="C239" s="392"/>
      <c r="D239" s="393"/>
      <c r="E239" s="394"/>
      <c r="F239" s="394"/>
      <c r="G239" s="394"/>
      <c r="H239" s="394"/>
      <c r="I239" s="370"/>
      <c r="J239" s="391">
        <f>IF(OR(Report!$G$4=C239,Report!$H$4=C239),1,0)</f>
        <v>0</v>
      </c>
      <c r="K239" s="366">
        <f>SUM($J$25:J239)</f>
        <v>2</v>
      </c>
    </row>
    <row r="240" spans="1:11" ht="14.5" x14ac:dyDescent="0.35">
      <c r="A240" s="29" t="str">
        <f>IF(OR(C240&gt;Report!$H$4,C240&lt;Report!$G$4),"",IF(OR(J240*K240=1,K240-J240=1),'!'!$GJ$14,""))</f>
        <v/>
      </c>
      <c r="B240" s="366">
        <f>IF(A240="",0,COUNTIF($A$25:$A240,'!'!$GJ$14))</f>
        <v>0</v>
      </c>
      <c r="C240" s="392"/>
      <c r="D240" s="393"/>
      <c r="E240" s="394"/>
      <c r="F240" s="394"/>
      <c r="G240" s="394"/>
      <c r="H240" s="394"/>
      <c r="I240" s="370"/>
      <c r="J240" s="391">
        <f>IF(OR(Report!$G$4=C240,Report!$H$4=C240),1,0)</f>
        <v>0</v>
      </c>
      <c r="K240" s="366">
        <f>SUM($J$25:J240)</f>
        <v>2</v>
      </c>
    </row>
    <row r="241" spans="1:11" ht="14.5" x14ac:dyDescent="0.35">
      <c r="A241" s="29" t="str">
        <f>IF(OR(C241&gt;Report!$H$4,C241&lt;Report!$G$4),"",IF(OR(J241*K241=1,K241-J241=1),'!'!$GJ$14,""))</f>
        <v/>
      </c>
      <c r="B241" s="366">
        <f>IF(A241="",0,COUNTIF($A$25:$A241,'!'!$GJ$14))</f>
        <v>0</v>
      </c>
      <c r="C241" s="392"/>
      <c r="D241" s="393"/>
      <c r="E241" s="394"/>
      <c r="F241" s="394"/>
      <c r="G241" s="394"/>
      <c r="H241" s="394"/>
      <c r="I241" s="370"/>
      <c r="J241" s="391">
        <f>IF(OR(Report!$G$4=C241,Report!$H$4=C241),1,0)</f>
        <v>0</v>
      </c>
      <c r="K241" s="366">
        <f>SUM($J$25:J241)</f>
        <v>2</v>
      </c>
    </row>
    <row r="242" spans="1:11" ht="14.5" x14ac:dyDescent="0.35">
      <c r="A242" s="29" t="str">
        <f>IF(OR(C242&gt;Report!$H$4,C242&lt;Report!$G$4),"",IF(OR(J242*K242=1,K242-J242=1),'!'!$GJ$14,""))</f>
        <v/>
      </c>
      <c r="B242" s="366">
        <f>IF(A242="",0,COUNTIF($A$25:$A242,'!'!$GJ$14))</f>
        <v>0</v>
      </c>
      <c r="C242" s="392"/>
      <c r="D242" s="393"/>
      <c r="E242" s="394"/>
      <c r="F242" s="394"/>
      <c r="G242" s="394"/>
      <c r="H242" s="394"/>
      <c r="I242" s="370"/>
      <c r="J242" s="391">
        <f>IF(OR(Report!$G$4=C242,Report!$H$4=C242),1,0)</f>
        <v>0</v>
      </c>
      <c r="K242" s="366">
        <f>SUM($J$25:J242)</f>
        <v>2</v>
      </c>
    </row>
    <row r="243" spans="1:11" ht="14.5" x14ac:dyDescent="0.35">
      <c r="A243" s="29" t="str">
        <f>IF(OR(C243&gt;Report!$H$4,C243&lt;Report!$G$4),"",IF(OR(J243*K243=1,K243-J243=1),'!'!$GJ$14,""))</f>
        <v/>
      </c>
      <c r="B243" s="366">
        <f>IF(A243="",0,COUNTIF($A$25:$A243,'!'!$GJ$14))</f>
        <v>0</v>
      </c>
      <c r="C243" s="392"/>
      <c r="D243" s="393"/>
      <c r="E243" s="394"/>
      <c r="F243" s="394"/>
      <c r="G243" s="394"/>
      <c r="H243" s="394"/>
      <c r="I243" s="370"/>
      <c r="J243" s="391">
        <f>IF(OR(Report!$G$4=C243,Report!$H$4=C243),1,0)</f>
        <v>0</v>
      </c>
      <c r="K243" s="366">
        <f>SUM($J$25:J243)</f>
        <v>2</v>
      </c>
    </row>
    <row r="244" spans="1:11" ht="14.5" x14ac:dyDescent="0.35">
      <c r="A244" s="29" t="str">
        <f>IF(OR(C244&gt;Report!$H$4,C244&lt;Report!$G$4),"",IF(OR(J244*K244=1,K244-J244=1),'!'!$GJ$14,""))</f>
        <v/>
      </c>
      <c r="B244" s="366">
        <f>IF(A244="",0,COUNTIF($A$25:$A244,'!'!$GJ$14))</f>
        <v>0</v>
      </c>
      <c r="C244" s="392"/>
      <c r="D244" s="393"/>
      <c r="E244" s="394"/>
      <c r="F244" s="394"/>
      <c r="G244" s="394"/>
      <c r="H244" s="394"/>
      <c r="I244" s="370"/>
      <c r="J244" s="391">
        <f>IF(OR(Report!$G$4=C244,Report!$H$4=C244),1,0)</f>
        <v>0</v>
      </c>
      <c r="K244" s="366">
        <f>SUM($J$25:J244)</f>
        <v>2</v>
      </c>
    </row>
    <row r="245" spans="1:11" ht="14.5" x14ac:dyDescent="0.35">
      <c r="A245" s="29" t="str">
        <f>IF(OR(C245&gt;Report!$H$4,C245&lt;Report!$G$4),"",IF(OR(J245*K245=1,K245-J245=1),'!'!$GJ$14,""))</f>
        <v/>
      </c>
      <c r="B245" s="366">
        <f>IF(A245="",0,COUNTIF($A$25:$A245,'!'!$GJ$14))</f>
        <v>0</v>
      </c>
      <c r="C245" s="392"/>
      <c r="D245" s="393"/>
      <c r="E245" s="394"/>
      <c r="F245" s="394"/>
      <c r="G245" s="394"/>
      <c r="H245" s="394"/>
      <c r="I245" s="370"/>
      <c r="J245" s="391">
        <f>IF(OR(Report!$G$4=C245,Report!$H$4=C245),1,0)</f>
        <v>0</v>
      </c>
      <c r="K245" s="366">
        <f>SUM($J$25:J245)</f>
        <v>2</v>
      </c>
    </row>
    <row r="246" spans="1:11" ht="14.5" x14ac:dyDescent="0.35">
      <c r="A246" s="29" t="str">
        <f>IF(OR(C246&gt;Report!$H$4,C246&lt;Report!$G$4),"",IF(OR(J246*K246=1,K246-J246=1),'!'!$GJ$14,""))</f>
        <v/>
      </c>
      <c r="B246" s="366">
        <f>IF(A246="",0,COUNTIF($A$25:$A246,'!'!$GJ$14))</f>
        <v>0</v>
      </c>
      <c r="C246" s="392"/>
      <c r="D246" s="393"/>
      <c r="E246" s="394"/>
      <c r="F246" s="394"/>
      <c r="G246" s="394"/>
      <c r="H246" s="394"/>
      <c r="I246" s="370"/>
      <c r="J246" s="391">
        <f>IF(OR(Report!$G$4=C246,Report!$H$4=C246),1,0)</f>
        <v>0</v>
      </c>
      <c r="K246" s="366">
        <f>SUM($J$25:J246)</f>
        <v>2</v>
      </c>
    </row>
    <row r="247" spans="1:11" ht="14.5" x14ac:dyDescent="0.35">
      <c r="A247" s="29" t="str">
        <f>IF(OR(C247&gt;Report!$H$4,C247&lt;Report!$G$4),"",IF(OR(J247*K247=1,K247-J247=1),'!'!$GJ$14,""))</f>
        <v/>
      </c>
      <c r="B247" s="366">
        <f>IF(A247="",0,COUNTIF($A$25:$A247,'!'!$GJ$14))</f>
        <v>0</v>
      </c>
      <c r="C247" s="392"/>
      <c r="D247" s="393"/>
      <c r="E247" s="394"/>
      <c r="F247" s="394"/>
      <c r="G247" s="394"/>
      <c r="H247" s="394"/>
      <c r="I247" s="370"/>
      <c r="J247" s="391">
        <f>IF(OR(Report!$G$4=C247,Report!$H$4=C247),1,0)</f>
        <v>0</v>
      </c>
      <c r="K247" s="366">
        <f>SUM($J$25:J247)</f>
        <v>2</v>
      </c>
    </row>
    <row r="248" spans="1:11" ht="14.5" x14ac:dyDescent="0.35">
      <c r="A248" s="29" t="str">
        <f>IF(OR(C248&gt;Report!$H$4,C248&lt;Report!$G$4),"",IF(OR(J248*K248=1,K248-J248=1),'!'!$GJ$14,""))</f>
        <v/>
      </c>
      <c r="B248" s="366">
        <f>IF(A248="",0,COUNTIF($A$25:$A248,'!'!$GJ$14))</f>
        <v>0</v>
      </c>
      <c r="C248" s="392"/>
      <c r="D248" s="393"/>
      <c r="E248" s="394"/>
      <c r="F248" s="394"/>
      <c r="G248" s="394"/>
      <c r="H248" s="394"/>
      <c r="I248" s="370"/>
      <c r="J248" s="391">
        <f>IF(OR(Report!$G$4=C248,Report!$H$4=C248),1,0)</f>
        <v>0</v>
      </c>
      <c r="K248" s="366">
        <f>SUM($J$25:J248)</f>
        <v>2</v>
      </c>
    </row>
    <row r="249" spans="1:11" ht="14.5" x14ac:dyDescent="0.35">
      <c r="A249" s="29" t="str">
        <f>IF(OR(C249&gt;Report!$H$4,C249&lt;Report!$G$4),"",IF(OR(J249*K249=1,K249-J249=1),'!'!$GJ$14,""))</f>
        <v/>
      </c>
      <c r="B249" s="366">
        <f>IF(A249="",0,COUNTIF($A$25:$A249,'!'!$GJ$14))</f>
        <v>0</v>
      </c>
      <c r="C249" s="392"/>
      <c r="D249" s="393"/>
      <c r="E249" s="394"/>
      <c r="F249" s="394"/>
      <c r="G249" s="394"/>
      <c r="H249" s="394"/>
      <c r="I249" s="370"/>
      <c r="J249" s="391">
        <f>IF(OR(Report!$G$4=C249,Report!$H$4=C249),1,0)</f>
        <v>0</v>
      </c>
      <c r="K249" s="366">
        <f>SUM($J$25:J249)</f>
        <v>2</v>
      </c>
    </row>
    <row r="250" spans="1:11" ht="14.5" x14ac:dyDescent="0.35">
      <c r="A250" s="29" t="str">
        <f>IF(OR(C250&gt;Report!$H$4,C250&lt;Report!$G$4),"",IF(OR(J250*K250=1,K250-J250=1),'!'!$GJ$14,""))</f>
        <v/>
      </c>
      <c r="B250" s="366">
        <f>IF(A250="",0,COUNTIF($A$25:$A250,'!'!$GJ$14))</f>
        <v>0</v>
      </c>
      <c r="C250" s="392"/>
      <c r="D250" s="393"/>
      <c r="E250" s="394"/>
      <c r="F250" s="394"/>
      <c r="G250" s="394"/>
      <c r="H250" s="394"/>
      <c r="I250" s="370"/>
      <c r="J250" s="391">
        <f>IF(OR(Report!$G$4=C250,Report!$H$4=C250),1,0)</f>
        <v>0</v>
      </c>
      <c r="K250" s="366">
        <f>SUM($J$25:J250)</f>
        <v>2</v>
      </c>
    </row>
    <row r="251" spans="1:11" ht="14.5" x14ac:dyDescent="0.35">
      <c r="A251" s="29" t="str">
        <f>IF(OR(C251&gt;Report!$H$4,C251&lt;Report!$G$4),"",IF(OR(J251*K251=1,K251-J251=1),'!'!$GJ$14,""))</f>
        <v/>
      </c>
      <c r="B251" s="366">
        <f>IF(A251="",0,COUNTIF($A$25:$A251,'!'!$GJ$14))</f>
        <v>0</v>
      </c>
      <c r="C251" s="392"/>
      <c r="D251" s="393"/>
      <c r="E251" s="394"/>
      <c r="F251" s="394"/>
      <c r="G251" s="394"/>
      <c r="H251" s="394"/>
      <c r="I251" s="370"/>
      <c r="J251" s="391">
        <f>IF(OR(Report!$G$4=C251,Report!$H$4=C251),1,0)</f>
        <v>0</v>
      </c>
      <c r="K251" s="366">
        <f>SUM($J$25:J251)</f>
        <v>2</v>
      </c>
    </row>
    <row r="252" spans="1:11" ht="14.5" x14ac:dyDescent="0.35">
      <c r="A252" s="29" t="str">
        <f>IF(OR(C252&gt;Report!$H$4,C252&lt;Report!$G$4),"",IF(OR(J252*K252=1,K252-J252=1),'!'!$GJ$14,""))</f>
        <v/>
      </c>
      <c r="B252" s="366">
        <f>IF(A252="",0,COUNTIF($A$25:$A252,'!'!$GJ$14))</f>
        <v>0</v>
      </c>
      <c r="C252" s="392"/>
      <c r="D252" s="393"/>
      <c r="E252" s="394"/>
      <c r="F252" s="394"/>
      <c r="G252" s="394"/>
      <c r="H252" s="394"/>
      <c r="I252" s="370"/>
      <c r="J252" s="391">
        <f>IF(OR(Report!$G$4=C252,Report!$H$4=C252),1,0)</f>
        <v>0</v>
      </c>
      <c r="K252" s="366">
        <f>SUM($J$25:J252)</f>
        <v>2</v>
      </c>
    </row>
    <row r="253" spans="1:11" ht="14.5" x14ac:dyDescent="0.35">
      <c r="A253" s="29" t="str">
        <f>IF(OR(C253&gt;Report!$H$4,C253&lt;Report!$G$4),"",IF(OR(J253*K253=1,K253-J253=1),'!'!$GJ$14,""))</f>
        <v/>
      </c>
      <c r="B253" s="366">
        <f>IF(A253="",0,COUNTIF($A$25:$A253,'!'!$GJ$14))</f>
        <v>0</v>
      </c>
      <c r="C253" s="392"/>
      <c r="D253" s="393"/>
      <c r="E253" s="394"/>
      <c r="F253" s="394"/>
      <c r="G253" s="394"/>
      <c r="H253" s="394"/>
      <c r="I253" s="370"/>
      <c r="J253" s="391">
        <f>IF(OR(Report!$G$4=C253,Report!$H$4=C253),1,0)</f>
        <v>0</v>
      </c>
      <c r="K253" s="366">
        <f>SUM($J$25:J253)</f>
        <v>2</v>
      </c>
    </row>
    <row r="254" spans="1:11" ht="14.5" x14ac:dyDescent="0.35">
      <c r="A254" s="29" t="str">
        <f>IF(OR(C254&gt;Report!$H$4,C254&lt;Report!$G$4),"",IF(OR(J254*K254=1,K254-J254=1),'!'!$GJ$14,""))</f>
        <v/>
      </c>
      <c r="B254" s="366">
        <f>IF(A254="",0,COUNTIF($A$25:$A254,'!'!$GJ$14))</f>
        <v>0</v>
      </c>
      <c r="C254" s="392"/>
      <c r="D254" s="393"/>
      <c r="E254" s="394"/>
      <c r="F254" s="394"/>
      <c r="G254" s="394"/>
      <c r="H254" s="394"/>
      <c r="I254" s="370"/>
      <c r="J254" s="391">
        <f>IF(OR(Report!$G$4=C254,Report!$H$4=C254),1,0)</f>
        <v>0</v>
      </c>
      <c r="K254" s="366">
        <f>SUM($J$25:J254)</f>
        <v>2</v>
      </c>
    </row>
    <row r="255" spans="1:11" ht="14.5" x14ac:dyDescent="0.35">
      <c r="A255" s="29" t="str">
        <f>IF(OR(C255&gt;Report!$H$4,C255&lt;Report!$G$4),"",IF(OR(J255*K255=1,K255-J255=1),'!'!$GJ$14,""))</f>
        <v/>
      </c>
      <c r="B255" s="366">
        <f>IF(A255="",0,COUNTIF($A$25:$A255,'!'!$GJ$14))</f>
        <v>0</v>
      </c>
      <c r="C255" s="392"/>
      <c r="D255" s="393"/>
      <c r="E255" s="394"/>
      <c r="F255" s="394"/>
      <c r="G255" s="394"/>
      <c r="H255" s="394"/>
      <c r="I255" s="370"/>
      <c r="J255" s="391">
        <f>IF(OR(Report!$G$4=C255,Report!$H$4=C255),1,0)</f>
        <v>0</v>
      </c>
      <c r="K255" s="366">
        <f>SUM($J$25:J255)</f>
        <v>2</v>
      </c>
    </row>
    <row r="256" spans="1:11" ht="14.5" x14ac:dyDescent="0.35">
      <c r="A256" s="29" t="str">
        <f>IF(OR(C256&gt;Report!$H$4,C256&lt;Report!$G$4),"",IF(OR(J256*K256=1,K256-J256=1),'!'!$GJ$14,""))</f>
        <v/>
      </c>
      <c r="B256" s="366">
        <f>IF(A256="",0,COUNTIF($A$25:$A256,'!'!$GJ$14))</f>
        <v>0</v>
      </c>
      <c r="C256" s="392"/>
      <c r="D256" s="393"/>
      <c r="E256" s="394"/>
      <c r="F256" s="394"/>
      <c r="G256" s="394"/>
      <c r="H256" s="394"/>
      <c r="I256" s="370"/>
      <c r="J256" s="391">
        <f>IF(OR(Report!$G$4=C256,Report!$H$4=C256),1,0)</f>
        <v>0</v>
      </c>
      <c r="K256" s="366">
        <f>SUM($J$25:J256)</f>
        <v>2</v>
      </c>
    </row>
    <row r="257" spans="1:11" ht="14.5" x14ac:dyDescent="0.35">
      <c r="A257" s="29" t="str">
        <f>IF(OR(C257&gt;Report!$H$4,C257&lt;Report!$G$4),"",IF(OR(J257*K257=1,K257-J257=1),'!'!$GJ$14,""))</f>
        <v/>
      </c>
      <c r="B257" s="366">
        <f>IF(A257="",0,COUNTIF($A$25:$A257,'!'!$GJ$14))</f>
        <v>0</v>
      </c>
      <c r="C257" s="392"/>
      <c r="D257" s="393"/>
      <c r="E257" s="394"/>
      <c r="F257" s="394"/>
      <c r="G257" s="394"/>
      <c r="H257" s="394"/>
      <c r="I257" s="370"/>
      <c r="J257" s="391">
        <f>IF(OR(Report!$G$4=C257,Report!$H$4=C257),1,0)</f>
        <v>0</v>
      </c>
      <c r="K257" s="366">
        <f>SUM($J$25:J257)</f>
        <v>2</v>
      </c>
    </row>
    <row r="258" spans="1:11" ht="14.5" x14ac:dyDescent="0.35">
      <c r="A258" s="29" t="str">
        <f>IF(OR(C258&gt;Report!$H$4,C258&lt;Report!$G$4),"",IF(OR(J258*K258=1,K258-J258=1),'!'!$GJ$14,""))</f>
        <v/>
      </c>
      <c r="B258" s="366">
        <f>IF(A258="",0,COUNTIF($A$25:$A258,'!'!$GJ$14))</f>
        <v>0</v>
      </c>
      <c r="C258" s="392"/>
      <c r="D258" s="393"/>
      <c r="E258" s="394"/>
      <c r="F258" s="394"/>
      <c r="G258" s="394"/>
      <c r="H258" s="394"/>
      <c r="I258" s="370"/>
      <c r="J258" s="391">
        <f>IF(OR(Report!$G$4=C258,Report!$H$4=C258),1,0)</f>
        <v>0</v>
      </c>
      <c r="K258" s="366">
        <f>SUM($J$25:J258)</f>
        <v>2</v>
      </c>
    </row>
    <row r="259" spans="1:11" ht="14.5" x14ac:dyDescent="0.35">
      <c r="A259" s="29" t="str">
        <f>IF(OR(C259&gt;Report!$H$4,C259&lt;Report!$G$4),"",IF(OR(J259*K259=1,K259-J259=1),'!'!$GJ$14,""))</f>
        <v/>
      </c>
      <c r="B259" s="366">
        <f>IF(A259="",0,COUNTIF($A$25:$A259,'!'!$GJ$14))</f>
        <v>0</v>
      </c>
      <c r="C259" s="392"/>
      <c r="D259" s="393"/>
      <c r="E259" s="394"/>
      <c r="F259" s="394"/>
      <c r="G259" s="394"/>
      <c r="H259" s="394"/>
      <c r="I259" s="370"/>
      <c r="J259" s="391">
        <f>IF(OR(Report!$G$4=C259,Report!$H$4=C259),1,0)</f>
        <v>0</v>
      </c>
      <c r="K259" s="366">
        <f>SUM($J$25:J259)</f>
        <v>2</v>
      </c>
    </row>
    <row r="260" spans="1:11" ht="14.5" x14ac:dyDescent="0.35">
      <c r="A260" s="29" t="str">
        <f>IF(OR(C260&gt;Report!$H$4,C260&lt;Report!$G$4),"",IF(OR(J260*K260=1,K260-J260=1),'!'!$GJ$14,""))</f>
        <v/>
      </c>
      <c r="B260" s="366">
        <f>IF(A260="",0,COUNTIF($A$25:$A260,'!'!$GJ$14))</f>
        <v>0</v>
      </c>
      <c r="C260" s="392"/>
      <c r="D260" s="393"/>
      <c r="E260" s="394"/>
      <c r="F260" s="394"/>
      <c r="G260" s="394"/>
      <c r="H260" s="394"/>
      <c r="I260" s="370"/>
      <c r="J260" s="391">
        <f>IF(OR(Report!$G$4=C260,Report!$H$4=C260),1,0)</f>
        <v>0</v>
      </c>
      <c r="K260" s="366">
        <f>SUM($J$25:J260)</f>
        <v>2</v>
      </c>
    </row>
    <row r="261" spans="1:11" ht="14.5" x14ac:dyDescent="0.35">
      <c r="A261" s="29" t="str">
        <f>IF(OR(C261&gt;Report!$H$4,C261&lt;Report!$G$4),"",IF(OR(J261*K261=1,K261-J261=1),'!'!$GJ$14,""))</f>
        <v/>
      </c>
      <c r="B261" s="366">
        <f>IF(A261="",0,COUNTIF($A$25:$A261,'!'!$GJ$14))</f>
        <v>0</v>
      </c>
      <c r="C261" s="392"/>
      <c r="D261" s="393"/>
      <c r="E261" s="394"/>
      <c r="F261" s="394"/>
      <c r="G261" s="394"/>
      <c r="H261" s="394"/>
      <c r="I261" s="370"/>
      <c r="J261" s="391">
        <f>IF(OR(Report!$G$4=C261,Report!$H$4=C261),1,0)</f>
        <v>0</v>
      </c>
      <c r="K261" s="366">
        <f>SUM($J$25:J261)</f>
        <v>2</v>
      </c>
    </row>
    <row r="262" spans="1:11" ht="14.5" x14ac:dyDescent="0.35">
      <c r="A262" s="29" t="str">
        <f>IF(OR(C262&gt;Report!$H$4,C262&lt;Report!$G$4),"",IF(OR(J262*K262=1,K262-J262=1),'!'!$GJ$14,""))</f>
        <v/>
      </c>
      <c r="B262" s="366">
        <f>IF(A262="",0,COUNTIF($A$25:$A262,'!'!$GJ$14))</f>
        <v>0</v>
      </c>
      <c r="C262" s="392"/>
      <c r="D262" s="393"/>
      <c r="E262" s="394"/>
      <c r="F262" s="394"/>
      <c r="G262" s="394"/>
      <c r="H262" s="394"/>
      <c r="I262" s="370"/>
      <c r="J262" s="391">
        <f>IF(OR(Report!$G$4=C262,Report!$H$4=C262),1,0)</f>
        <v>0</v>
      </c>
      <c r="K262" s="366">
        <f>SUM($J$25:J262)</f>
        <v>2</v>
      </c>
    </row>
    <row r="263" spans="1:11" ht="14.5" x14ac:dyDescent="0.35">
      <c r="A263" s="29" t="str">
        <f>IF(OR(C263&gt;Report!$H$4,C263&lt;Report!$G$4),"",IF(OR(J263*K263=1,K263-J263=1),'!'!$GJ$14,""))</f>
        <v/>
      </c>
      <c r="B263" s="366">
        <f>IF(A263="",0,COUNTIF($A$25:$A263,'!'!$GJ$14))</f>
        <v>0</v>
      </c>
      <c r="C263" s="392"/>
      <c r="D263" s="393"/>
      <c r="E263" s="394"/>
      <c r="F263" s="394"/>
      <c r="G263" s="394"/>
      <c r="H263" s="394"/>
      <c r="I263" s="370"/>
      <c r="J263" s="391">
        <f>IF(OR(Report!$G$4=C263,Report!$H$4=C263),1,0)</f>
        <v>0</v>
      </c>
      <c r="K263" s="366">
        <f>SUM($J$25:J263)</f>
        <v>2</v>
      </c>
    </row>
    <row r="264" spans="1:11" ht="14.5" x14ac:dyDescent="0.35">
      <c r="A264" s="29" t="str">
        <f>IF(OR(C264&gt;Report!$H$4,C264&lt;Report!$G$4),"",IF(OR(J264*K264=1,K264-J264=1),'!'!$GJ$14,""))</f>
        <v/>
      </c>
      <c r="B264" s="366">
        <f>IF(A264="",0,COUNTIF($A$25:$A264,'!'!$GJ$14))</f>
        <v>0</v>
      </c>
      <c r="C264" s="392"/>
      <c r="D264" s="393"/>
      <c r="E264" s="394"/>
      <c r="F264" s="394"/>
      <c r="G264" s="394"/>
      <c r="H264" s="394"/>
      <c r="I264" s="370"/>
      <c r="J264" s="391">
        <f>IF(OR(Report!$G$4=C264,Report!$H$4=C264),1,0)</f>
        <v>0</v>
      </c>
      <c r="K264" s="366">
        <f>SUM($J$25:J264)</f>
        <v>2</v>
      </c>
    </row>
    <row r="265" spans="1:11" ht="14.5" x14ac:dyDescent="0.35">
      <c r="A265" s="29" t="str">
        <f>IF(OR(C265&gt;Report!$H$4,C265&lt;Report!$G$4),"",IF(OR(J265*K265=1,K265-J265=1),'!'!$GJ$14,""))</f>
        <v/>
      </c>
      <c r="B265" s="366">
        <f>IF(A265="",0,COUNTIF($A$25:$A265,'!'!$GJ$14))</f>
        <v>0</v>
      </c>
      <c r="C265" s="392"/>
      <c r="D265" s="393"/>
      <c r="E265" s="394"/>
      <c r="F265" s="394"/>
      <c r="G265" s="394"/>
      <c r="H265" s="394"/>
      <c r="I265" s="370"/>
      <c r="J265" s="391">
        <f>IF(OR(Report!$G$4=C265,Report!$H$4=C265),1,0)</f>
        <v>0</v>
      </c>
      <c r="K265" s="366">
        <f>SUM($J$25:J265)</f>
        <v>2</v>
      </c>
    </row>
    <row r="266" spans="1:11" ht="14.5" x14ac:dyDescent="0.35">
      <c r="A266" s="29" t="str">
        <f>IF(OR(C266&gt;Report!$H$4,C266&lt;Report!$G$4),"",IF(OR(J266*K266=1,K266-J266=1),'!'!$GJ$14,""))</f>
        <v/>
      </c>
      <c r="B266" s="366">
        <f>IF(A266="",0,COUNTIF($A$25:$A266,'!'!$GJ$14))</f>
        <v>0</v>
      </c>
      <c r="C266" s="392"/>
      <c r="D266" s="393"/>
      <c r="E266" s="394"/>
      <c r="F266" s="394"/>
      <c r="G266" s="394"/>
      <c r="H266" s="394"/>
      <c r="I266" s="370"/>
      <c r="J266" s="391">
        <f>IF(OR(Report!$G$4=C266,Report!$H$4=C266),1,0)</f>
        <v>0</v>
      </c>
      <c r="K266" s="366">
        <f>SUM($J$25:J266)</f>
        <v>2</v>
      </c>
    </row>
    <row r="267" spans="1:11" ht="14.5" x14ac:dyDescent="0.35">
      <c r="A267" s="29" t="str">
        <f>IF(OR(C267&gt;Report!$H$4,C267&lt;Report!$G$4),"",IF(OR(J267*K267=1,K267-J267=1),'!'!$GJ$14,""))</f>
        <v/>
      </c>
      <c r="B267" s="366">
        <f>IF(A267="",0,COUNTIF($A$25:$A267,'!'!$GJ$14))</f>
        <v>0</v>
      </c>
      <c r="C267" s="392"/>
      <c r="D267" s="393"/>
      <c r="E267" s="394"/>
      <c r="F267" s="394"/>
      <c r="G267" s="394"/>
      <c r="H267" s="394"/>
      <c r="I267" s="370"/>
      <c r="J267" s="391">
        <f>IF(OR(Report!$G$4=C267,Report!$H$4=C267),1,0)</f>
        <v>0</v>
      </c>
      <c r="K267" s="366">
        <f>SUM($J$25:J267)</f>
        <v>2</v>
      </c>
    </row>
    <row r="268" spans="1:11" ht="14.5" x14ac:dyDescent="0.35">
      <c r="A268" s="29" t="str">
        <f>IF(OR(C268&gt;Report!$H$4,C268&lt;Report!$G$4),"",IF(OR(J268*K268=1,K268-J268=1),'!'!$GJ$14,""))</f>
        <v/>
      </c>
      <c r="B268" s="366">
        <f>IF(A268="",0,COUNTIF($A$25:$A268,'!'!$GJ$14))</f>
        <v>0</v>
      </c>
      <c r="C268" s="392"/>
      <c r="D268" s="393"/>
      <c r="E268" s="394"/>
      <c r="F268" s="394"/>
      <c r="G268" s="394"/>
      <c r="H268" s="394"/>
      <c r="I268" s="370"/>
      <c r="J268" s="391">
        <f>IF(OR(Report!$G$4=C268,Report!$H$4=C268),1,0)</f>
        <v>0</v>
      </c>
      <c r="K268" s="366">
        <f>SUM($J$25:J268)</f>
        <v>2</v>
      </c>
    </row>
    <row r="269" spans="1:11" ht="14.5" x14ac:dyDescent="0.35">
      <c r="A269" s="29" t="str">
        <f>IF(OR(C269&gt;Report!$H$4,C269&lt;Report!$G$4),"",IF(OR(J269*K269=1,K269-J269=1),'!'!$GJ$14,""))</f>
        <v/>
      </c>
      <c r="B269" s="366">
        <f>IF(A269="",0,COUNTIF($A$25:$A269,'!'!$GJ$14))</f>
        <v>0</v>
      </c>
      <c r="C269" s="392"/>
      <c r="D269" s="393"/>
      <c r="E269" s="394"/>
      <c r="F269" s="394"/>
      <c r="G269" s="394"/>
      <c r="H269" s="394"/>
      <c r="I269" s="370"/>
      <c r="J269" s="391">
        <f>IF(OR(Report!$G$4=C269,Report!$H$4=C269),1,0)</f>
        <v>0</v>
      </c>
      <c r="K269" s="366">
        <f>SUM($J$25:J269)</f>
        <v>2</v>
      </c>
    </row>
    <row r="270" spans="1:11" ht="14.5" x14ac:dyDescent="0.35">
      <c r="A270" s="29" t="str">
        <f>IF(OR(C270&gt;Report!$H$4,C270&lt;Report!$G$4),"",IF(OR(J270*K270=1,K270-J270=1),'!'!$GJ$14,""))</f>
        <v/>
      </c>
      <c r="B270" s="366">
        <f>IF(A270="",0,COUNTIF($A$25:$A270,'!'!$GJ$14))</f>
        <v>0</v>
      </c>
      <c r="C270" s="392"/>
      <c r="D270" s="393"/>
      <c r="E270" s="394"/>
      <c r="F270" s="394"/>
      <c r="G270" s="394"/>
      <c r="H270" s="394"/>
      <c r="I270" s="370"/>
      <c r="J270" s="391">
        <f>IF(OR(Report!$G$4=C270,Report!$H$4=C270),1,0)</f>
        <v>0</v>
      </c>
      <c r="K270" s="366">
        <f>SUM($J$25:J270)</f>
        <v>2</v>
      </c>
    </row>
    <row r="271" spans="1:11" ht="14.5" x14ac:dyDescent="0.35">
      <c r="A271" s="29" t="str">
        <f>IF(OR(C271&gt;Report!$H$4,C271&lt;Report!$G$4),"",IF(OR(J271*K271=1,K271-J271=1),'!'!$GJ$14,""))</f>
        <v/>
      </c>
      <c r="B271" s="366">
        <f>IF(A271="",0,COUNTIF($A$25:$A271,'!'!$GJ$14))</f>
        <v>0</v>
      </c>
      <c r="C271" s="392"/>
      <c r="D271" s="393"/>
      <c r="E271" s="394"/>
      <c r="F271" s="394"/>
      <c r="G271" s="394"/>
      <c r="H271" s="394"/>
      <c r="I271" s="370"/>
      <c r="J271" s="391">
        <f>IF(OR(Report!$G$4=C271,Report!$H$4=C271),1,0)</f>
        <v>0</v>
      </c>
      <c r="K271" s="366">
        <f>SUM($J$25:J271)</f>
        <v>2</v>
      </c>
    </row>
    <row r="272" spans="1:11" ht="14.5" x14ac:dyDescent="0.35">
      <c r="A272" s="29" t="str">
        <f>IF(OR(C272&gt;Report!$H$4,C272&lt;Report!$G$4),"",IF(OR(J272*K272=1,K272-J272=1),'!'!$GJ$14,""))</f>
        <v/>
      </c>
      <c r="B272" s="366">
        <f>IF(A272="",0,COUNTIF($A$25:$A272,'!'!$GJ$14))</f>
        <v>0</v>
      </c>
      <c r="C272" s="392"/>
      <c r="D272" s="393"/>
      <c r="E272" s="394"/>
      <c r="F272" s="394"/>
      <c r="G272" s="394"/>
      <c r="H272" s="394"/>
      <c r="I272" s="370"/>
      <c r="J272" s="391">
        <f>IF(OR(Report!$G$4=C272,Report!$H$4=C272),1,0)</f>
        <v>0</v>
      </c>
      <c r="K272" s="366">
        <f>SUM($J$25:J272)</f>
        <v>2</v>
      </c>
    </row>
    <row r="273" spans="1:11" ht="14.5" x14ac:dyDescent="0.35">
      <c r="A273" s="29" t="str">
        <f>IF(OR(C273&gt;Report!$H$4,C273&lt;Report!$G$4),"",IF(OR(J273*K273=1,K273-J273=1),'!'!$GJ$14,""))</f>
        <v/>
      </c>
      <c r="B273" s="366">
        <f>IF(A273="",0,COUNTIF($A$25:$A273,'!'!$GJ$14))</f>
        <v>0</v>
      </c>
      <c r="C273" s="392"/>
      <c r="D273" s="393"/>
      <c r="E273" s="394"/>
      <c r="F273" s="394"/>
      <c r="G273" s="394"/>
      <c r="H273" s="394"/>
      <c r="I273" s="370"/>
      <c r="J273" s="391">
        <f>IF(OR(Report!$G$4=C273,Report!$H$4=C273),1,0)</f>
        <v>0</v>
      </c>
      <c r="K273" s="366">
        <f>SUM($J$25:J273)</f>
        <v>2</v>
      </c>
    </row>
    <row r="274" spans="1:11" ht="14.5" x14ac:dyDescent="0.35">
      <c r="A274" s="29" t="str">
        <f>IF(OR(C274&gt;Report!$H$4,C274&lt;Report!$G$4),"",IF(OR(J274*K274=1,K274-J274=1),'!'!$GJ$14,""))</f>
        <v/>
      </c>
      <c r="B274" s="366">
        <f>IF(A274="",0,COUNTIF($A$25:$A274,'!'!$GJ$14))</f>
        <v>0</v>
      </c>
      <c r="C274" s="392"/>
      <c r="D274" s="393"/>
      <c r="E274" s="394"/>
      <c r="F274" s="394"/>
      <c r="G274" s="394"/>
      <c r="H274" s="394"/>
      <c r="I274" s="370"/>
      <c r="J274" s="391">
        <f>IF(OR(Report!$G$4=C274,Report!$H$4=C274),1,0)</f>
        <v>0</v>
      </c>
      <c r="K274" s="366">
        <f>SUM($J$25:J274)</f>
        <v>2</v>
      </c>
    </row>
    <row r="275" spans="1:11" ht="14.5" x14ac:dyDescent="0.35">
      <c r="A275" s="29" t="str">
        <f>IF(OR(C275&gt;Report!$H$4,C275&lt;Report!$G$4),"",IF(OR(J275*K275=1,K275-J275=1),'!'!$GJ$14,""))</f>
        <v/>
      </c>
      <c r="B275" s="366">
        <f>IF(A275="",0,COUNTIF($A$25:$A275,'!'!$GJ$14))</f>
        <v>0</v>
      </c>
      <c r="C275" s="392"/>
      <c r="D275" s="393"/>
      <c r="E275" s="394"/>
      <c r="F275" s="394"/>
      <c r="G275" s="394"/>
      <c r="H275" s="394"/>
      <c r="I275" s="370"/>
      <c r="J275" s="391">
        <f>IF(OR(Report!$G$4=C275,Report!$H$4=C275),1,0)</f>
        <v>0</v>
      </c>
      <c r="K275" s="366">
        <f>SUM($J$25:J275)</f>
        <v>2</v>
      </c>
    </row>
    <row r="276" spans="1:11" ht="14.5" x14ac:dyDescent="0.35">
      <c r="A276" s="29" t="str">
        <f>IF(OR(C276&gt;Report!$H$4,C276&lt;Report!$G$4),"",IF(OR(J276*K276=1,K276-J276=1),'!'!$GJ$14,""))</f>
        <v/>
      </c>
      <c r="B276" s="366">
        <f>IF(A276="",0,COUNTIF($A$25:$A276,'!'!$GJ$14))</f>
        <v>0</v>
      </c>
      <c r="C276" s="392"/>
      <c r="D276" s="393"/>
      <c r="E276" s="394"/>
      <c r="F276" s="394"/>
      <c r="G276" s="394"/>
      <c r="H276" s="394"/>
      <c r="I276" s="370"/>
      <c r="J276" s="391">
        <f>IF(OR(Report!$G$4=C276,Report!$H$4=C276),1,0)</f>
        <v>0</v>
      </c>
      <c r="K276" s="366">
        <f>SUM($J$25:J276)</f>
        <v>2</v>
      </c>
    </row>
    <row r="277" spans="1:11" ht="14.5" x14ac:dyDescent="0.35">
      <c r="A277" s="29" t="str">
        <f>IF(OR(C277&gt;Report!$H$4,C277&lt;Report!$G$4),"",IF(OR(J277*K277=1,K277-J277=1),'!'!$GJ$14,""))</f>
        <v/>
      </c>
      <c r="B277" s="366">
        <f>IF(A277="",0,COUNTIF($A$25:$A277,'!'!$GJ$14))</f>
        <v>0</v>
      </c>
      <c r="C277" s="392"/>
      <c r="D277" s="393"/>
      <c r="E277" s="394"/>
      <c r="F277" s="394"/>
      <c r="G277" s="394"/>
      <c r="H277" s="394"/>
      <c r="I277" s="370"/>
      <c r="J277" s="391">
        <f>IF(OR(Report!$G$4=C277,Report!$H$4=C277),1,0)</f>
        <v>0</v>
      </c>
      <c r="K277" s="366">
        <f>SUM($J$25:J277)</f>
        <v>2</v>
      </c>
    </row>
    <row r="278" spans="1:11" ht="14.5" x14ac:dyDescent="0.35">
      <c r="A278" s="29" t="str">
        <f>IF(OR(C278&gt;Report!$H$4,C278&lt;Report!$G$4),"",IF(OR(J278*K278=1,K278-J278=1),'!'!$GJ$14,""))</f>
        <v/>
      </c>
      <c r="B278" s="366">
        <f>IF(A278="",0,COUNTIF($A$25:$A278,'!'!$GJ$14))</f>
        <v>0</v>
      </c>
      <c r="C278" s="392"/>
      <c r="D278" s="393"/>
      <c r="E278" s="394"/>
      <c r="F278" s="394"/>
      <c r="G278" s="394"/>
      <c r="H278" s="394"/>
      <c r="I278" s="370"/>
      <c r="J278" s="391">
        <f>IF(OR(Report!$G$4=C278,Report!$H$4=C278),1,0)</f>
        <v>0</v>
      </c>
      <c r="K278" s="366">
        <f>SUM($J$25:J278)</f>
        <v>2</v>
      </c>
    </row>
    <row r="279" spans="1:11" ht="14.5" x14ac:dyDescent="0.35">
      <c r="A279" s="29" t="str">
        <f>IF(OR(C279&gt;Report!$H$4,C279&lt;Report!$G$4),"",IF(OR(J279*K279=1,K279-J279=1),'!'!$GJ$14,""))</f>
        <v/>
      </c>
      <c r="B279" s="366">
        <f>IF(A279="",0,COUNTIF($A$25:$A279,'!'!$GJ$14))</f>
        <v>0</v>
      </c>
      <c r="C279" s="392"/>
      <c r="D279" s="393"/>
      <c r="E279" s="394"/>
      <c r="F279" s="394"/>
      <c r="G279" s="394"/>
      <c r="H279" s="394"/>
      <c r="I279" s="370"/>
      <c r="J279" s="391">
        <f>IF(OR(Report!$G$4=C279,Report!$H$4=C279),1,0)</f>
        <v>0</v>
      </c>
      <c r="K279" s="366">
        <f>SUM($J$25:J279)</f>
        <v>2</v>
      </c>
    </row>
    <row r="280" spans="1:11" ht="14.5" x14ac:dyDescent="0.35">
      <c r="A280" s="29" t="str">
        <f>IF(OR(C280&gt;Report!$H$4,C280&lt;Report!$G$4),"",IF(OR(J280*K280=1,K280-J280=1),'!'!$GJ$14,""))</f>
        <v/>
      </c>
      <c r="B280" s="366">
        <f>IF(A280="",0,COUNTIF($A$25:$A280,'!'!$GJ$14))</f>
        <v>0</v>
      </c>
      <c r="C280" s="392"/>
      <c r="D280" s="393"/>
      <c r="E280" s="394"/>
      <c r="F280" s="394"/>
      <c r="G280" s="394"/>
      <c r="H280" s="394"/>
      <c r="I280" s="370"/>
      <c r="J280" s="391">
        <f>IF(OR(Report!$G$4=C280,Report!$H$4=C280),1,0)</f>
        <v>0</v>
      </c>
      <c r="K280" s="366">
        <f>SUM($J$25:J280)</f>
        <v>2</v>
      </c>
    </row>
    <row r="281" spans="1:11" ht="14.5" x14ac:dyDescent="0.35">
      <c r="A281" s="29" t="str">
        <f>IF(OR(C281&gt;Report!$H$4,C281&lt;Report!$G$4),"",IF(OR(J281*K281=1,K281-J281=1),'!'!$GJ$14,""))</f>
        <v/>
      </c>
      <c r="B281" s="366">
        <f>IF(A281="",0,COUNTIF($A$25:$A281,'!'!$GJ$14))</f>
        <v>0</v>
      </c>
      <c r="C281" s="392"/>
      <c r="D281" s="393"/>
      <c r="E281" s="394"/>
      <c r="F281" s="394"/>
      <c r="G281" s="394"/>
      <c r="H281" s="394"/>
      <c r="I281" s="370"/>
      <c r="J281" s="391">
        <f>IF(OR(Report!$G$4=C281,Report!$H$4=C281),1,0)</f>
        <v>0</v>
      </c>
      <c r="K281" s="366">
        <f>SUM($J$25:J281)</f>
        <v>2</v>
      </c>
    </row>
    <row r="282" spans="1:11" ht="14.5" x14ac:dyDescent="0.35">
      <c r="A282" s="29" t="str">
        <f>IF(OR(C282&gt;Report!$H$4,C282&lt;Report!$G$4),"",IF(OR(J282*K282=1,K282-J282=1),'!'!$GJ$14,""))</f>
        <v/>
      </c>
      <c r="B282" s="366">
        <f>IF(A282="",0,COUNTIF($A$25:$A282,'!'!$GJ$14))</f>
        <v>0</v>
      </c>
      <c r="C282" s="392"/>
      <c r="D282" s="393"/>
      <c r="E282" s="394"/>
      <c r="F282" s="394"/>
      <c r="G282" s="394"/>
      <c r="H282" s="394"/>
      <c r="I282" s="370"/>
      <c r="J282" s="391">
        <f>IF(OR(Report!$G$4=C282,Report!$H$4=C282),1,0)</f>
        <v>0</v>
      </c>
      <c r="K282" s="366">
        <f>SUM($J$25:J282)</f>
        <v>2</v>
      </c>
    </row>
    <row r="283" spans="1:11" ht="14.5" x14ac:dyDescent="0.35">
      <c r="A283" s="29" t="str">
        <f>IF(OR(C283&gt;Report!$H$4,C283&lt;Report!$G$4),"",IF(OR(J283*K283=1,K283-J283=1),'!'!$GJ$14,""))</f>
        <v/>
      </c>
      <c r="B283" s="366">
        <f>IF(A283="",0,COUNTIF($A$25:$A283,'!'!$GJ$14))</f>
        <v>0</v>
      </c>
      <c r="C283" s="392"/>
      <c r="D283" s="393"/>
      <c r="E283" s="394"/>
      <c r="F283" s="394"/>
      <c r="G283" s="394"/>
      <c r="H283" s="394"/>
      <c r="I283" s="370"/>
      <c r="J283" s="391">
        <f>IF(OR(Report!$G$4=C283,Report!$H$4=C283),1,0)</f>
        <v>0</v>
      </c>
      <c r="K283" s="366">
        <f>SUM($J$25:J283)</f>
        <v>2</v>
      </c>
    </row>
    <row r="284" spans="1:11" ht="14.5" x14ac:dyDescent="0.35">
      <c r="A284" s="29" t="str">
        <f>IF(OR(C284&gt;Report!$H$4,C284&lt;Report!$G$4),"",IF(OR(J284*K284=1,K284-J284=1),'!'!$GJ$14,""))</f>
        <v/>
      </c>
      <c r="B284" s="366">
        <f>IF(A284="",0,COUNTIF($A$25:$A284,'!'!$GJ$14))</f>
        <v>0</v>
      </c>
      <c r="C284" s="392"/>
      <c r="D284" s="393"/>
      <c r="E284" s="394"/>
      <c r="F284" s="394"/>
      <c r="G284" s="394"/>
      <c r="H284" s="394"/>
      <c r="I284" s="370"/>
      <c r="J284" s="391">
        <f>IF(OR(Report!$G$4=C284,Report!$H$4=C284),1,0)</f>
        <v>0</v>
      </c>
      <c r="K284" s="366">
        <f>SUM($J$25:J284)</f>
        <v>2</v>
      </c>
    </row>
    <row r="285" spans="1:11" ht="14.5" x14ac:dyDescent="0.35">
      <c r="A285" s="29" t="str">
        <f>IF(OR(C285&gt;Report!$H$4,C285&lt;Report!$G$4),"",IF(OR(J285*K285=1,K285-J285=1),'!'!$GJ$14,""))</f>
        <v/>
      </c>
      <c r="B285" s="366">
        <f>IF(A285="",0,COUNTIF($A$25:$A285,'!'!$GJ$14))</f>
        <v>0</v>
      </c>
      <c r="C285" s="392"/>
      <c r="D285" s="393"/>
      <c r="E285" s="394"/>
      <c r="F285" s="394"/>
      <c r="G285" s="394"/>
      <c r="H285" s="394"/>
      <c r="I285" s="370"/>
      <c r="J285" s="391">
        <f>IF(OR(Report!$G$4=C285,Report!$H$4=C285),1,0)</f>
        <v>0</v>
      </c>
      <c r="K285" s="366">
        <f>SUM($J$25:J285)</f>
        <v>2</v>
      </c>
    </row>
    <row r="286" spans="1:11" ht="14.5" x14ac:dyDescent="0.35">
      <c r="A286" s="29" t="str">
        <f>IF(OR(C286&gt;Report!$H$4,C286&lt;Report!$G$4),"",IF(OR(J286*K286=1,K286-J286=1),'!'!$GJ$14,""))</f>
        <v/>
      </c>
      <c r="B286" s="366">
        <f>IF(A286="",0,COUNTIF($A$25:$A286,'!'!$GJ$14))</f>
        <v>0</v>
      </c>
      <c r="C286" s="392"/>
      <c r="D286" s="393"/>
      <c r="E286" s="394"/>
      <c r="F286" s="394"/>
      <c r="G286" s="394"/>
      <c r="H286" s="394"/>
      <c r="I286" s="370"/>
      <c r="J286" s="391">
        <f>IF(OR(Report!$G$4=C286,Report!$H$4=C286),1,0)</f>
        <v>0</v>
      </c>
      <c r="K286" s="366">
        <f>SUM($J$25:J286)</f>
        <v>2</v>
      </c>
    </row>
    <row r="287" spans="1:11" ht="14.5" x14ac:dyDescent="0.35">
      <c r="A287" s="29" t="str">
        <f>IF(OR(C287&gt;Report!$H$4,C287&lt;Report!$G$4),"",IF(OR(J287*K287=1,K287-J287=1),'!'!$GJ$14,""))</f>
        <v/>
      </c>
      <c r="B287" s="366">
        <f>IF(A287="",0,COUNTIF($A$25:$A287,'!'!$GJ$14))</f>
        <v>0</v>
      </c>
      <c r="C287" s="392"/>
      <c r="D287" s="393"/>
      <c r="E287" s="394"/>
      <c r="F287" s="394"/>
      <c r="G287" s="394"/>
      <c r="H287" s="394"/>
      <c r="I287" s="370"/>
      <c r="J287" s="391">
        <f>IF(OR(Report!$G$4=C287,Report!$H$4=C287),1,0)</f>
        <v>0</v>
      </c>
      <c r="K287" s="366">
        <f>SUM($J$25:J287)</f>
        <v>2</v>
      </c>
    </row>
    <row r="288" spans="1:11" ht="14.5" x14ac:dyDescent="0.35">
      <c r="A288" s="29" t="str">
        <f>IF(OR(C288&gt;Report!$H$4,C288&lt;Report!$G$4),"",IF(OR(J288*K288=1,K288-J288=1),'!'!$GJ$14,""))</f>
        <v/>
      </c>
      <c r="B288" s="366">
        <f>IF(A288="",0,COUNTIF($A$25:$A288,'!'!$GJ$14))</f>
        <v>0</v>
      </c>
      <c r="C288" s="392"/>
      <c r="D288" s="393"/>
      <c r="E288" s="394"/>
      <c r="F288" s="394"/>
      <c r="G288" s="394"/>
      <c r="H288" s="394"/>
      <c r="I288" s="370"/>
      <c r="J288" s="391">
        <f>IF(OR(Report!$G$4=C288,Report!$H$4=C288),1,0)</f>
        <v>0</v>
      </c>
      <c r="K288" s="366">
        <f>SUM($J$25:J288)</f>
        <v>2</v>
      </c>
    </row>
    <row r="289" spans="1:11" ht="14.5" x14ac:dyDescent="0.35">
      <c r="A289" s="29" t="str">
        <f>IF(OR(C289&gt;Report!$H$4,C289&lt;Report!$G$4),"",IF(OR(J289*K289=1,K289-J289=1),'!'!$GJ$14,""))</f>
        <v/>
      </c>
      <c r="B289" s="366">
        <f>IF(A289="",0,COUNTIF($A$25:$A289,'!'!$GJ$14))</f>
        <v>0</v>
      </c>
      <c r="C289" s="392"/>
      <c r="D289" s="393"/>
      <c r="E289" s="394"/>
      <c r="F289" s="394"/>
      <c r="G289" s="394"/>
      <c r="H289" s="394"/>
      <c r="I289" s="370"/>
      <c r="J289" s="391">
        <f>IF(OR(Report!$G$4=C289,Report!$H$4=C289),1,0)</f>
        <v>0</v>
      </c>
      <c r="K289" s="366">
        <f>SUM($J$25:J289)</f>
        <v>2</v>
      </c>
    </row>
    <row r="290" spans="1:11" ht="14.5" x14ac:dyDescent="0.35">
      <c r="A290" s="29" t="str">
        <f>IF(OR(C290&gt;Report!$H$4,C290&lt;Report!$G$4),"",IF(OR(J290*K290=1,K290-J290=1),'!'!$GJ$14,""))</f>
        <v/>
      </c>
      <c r="B290" s="366">
        <f>IF(A290="",0,COUNTIF($A$25:$A290,'!'!$GJ$14))</f>
        <v>0</v>
      </c>
      <c r="C290" s="392"/>
      <c r="D290" s="393"/>
      <c r="E290" s="394"/>
      <c r="F290" s="394"/>
      <c r="G290" s="394"/>
      <c r="H290" s="394"/>
      <c r="I290" s="370"/>
      <c r="J290" s="391">
        <f>IF(OR(Report!$G$4=C290,Report!$H$4=C290),1,0)</f>
        <v>0</v>
      </c>
      <c r="K290" s="366">
        <f>SUM($J$25:J290)</f>
        <v>2</v>
      </c>
    </row>
    <row r="291" spans="1:11" ht="14.5" x14ac:dyDescent="0.35">
      <c r="A291" s="29" t="str">
        <f>IF(OR(C291&gt;Report!$H$4,C291&lt;Report!$G$4),"",IF(OR(J291*K291=1,K291-J291=1),'!'!$GJ$14,""))</f>
        <v/>
      </c>
      <c r="B291" s="366">
        <f>IF(A291="",0,COUNTIF($A$25:$A291,'!'!$GJ$14))</f>
        <v>0</v>
      </c>
      <c r="C291" s="392"/>
      <c r="D291" s="393"/>
      <c r="E291" s="394"/>
      <c r="F291" s="394"/>
      <c r="G291" s="394"/>
      <c r="H291" s="394"/>
      <c r="I291" s="370"/>
      <c r="J291" s="391">
        <f>IF(OR(Report!$G$4=C291,Report!$H$4=C291),1,0)</f>
        <v>0</v>
      </c>
      <c r="K291" s="366">
        <f>SUM($J$25:J291)</f>
        <v>2</v>
      </c>
    </row>
    <row r="292" spans="1:11" ht="14.5" x14ac:dyDescent="0.35">
      <c r="A292" s="29" t="str">
        <f>IF(OR(C292&gt;Report!$H$4,C292&lt;Report!$G$4),"",IF(OR(J292*K292=1,K292-J292=1),'!'!$GJ$14,""))</f>
        <v/>
      </c>
      <c r="B292" s="366">
        <f>IF(A292="",0,COUNTIF($A$25:$A292,'!'!$GJ$14))</f>
        <v>0</v>
      </c>
      <c r="C292" s="392"/>
      <c r="D292" s="393"/>
      <c r="E292" s="394"/>
      <c r="F292" s="394"/>
      <c r="G292" s="394"/>
      <c r="H292" s="394"/>
      <c r="I292" s="370"/>
      <c r="J292" s="391">
        <f>IF(OR(Report!$G$4=C292,Report!$H$4=C292),1,0)</f>
        <v>0</v>
      </c>
      <c r="K292" s="366">
        <f>SUM($J$25:J292)</f>
        <v>2</v>
      </c>
    </row>
    <row r="293" spans="1:11" ht="14.5" x14ac:dyDescent="0.35">
      <c r="A293" s="29" t="str">
        <f>IF(OR(C293&gt;Report!$H$4,C293&lt;Report!$G$4),"",IF(OR(J293*K293=1,K293-J293=1),'!'!$GJ$14,""))</f>
        <v/>
      </c>
      <c r="B293" s="366">
        <f>IF(A293="",0,COUNTIF($A$25:$A293,'!'!$GJ$14))</f>
        <v>0</v>
      </c>
      <c r="C293" s="392"/>
      <c r="D293" s="393"/>
      <c r="E293" s="394"/>
      <c r="F293" s="394"/>
      <c r="G293" s="394"/>
      <c r="H293" s="394"/>
      <c r="I293" s="370"/>
      <c r="J293" s="391">
        <f>IF(OR(Report!$G$4=C293,Report!$H$4=C293),1,0)</f>
        <v>0</v>
      </c>
      <c r="K293" s="366">
        <f>SUM($J$25:J293)</f>
        <v>2</v>
      </c>
    </row>
    <row r="294" spans="1:11" ht="14.5" x14ac:dyDescent="0.35">
      <c r="A294" s="29" t="str">
        <f>IF(OR(C294&gt;Report!$H$4,C294&lt;Report!$G$4),"",IF(OR(J294*K294=1,K294-J294=1),'!'!$GJ$14,""))</f>
        <v/>
      </c>
      <c r="B294" s="366">
        <f>IF(A294="",0,COUNTIF($A$25:$A294,'!'!$GJ$14))</f>
        <v>0</v>
      </c>
      <c r="C294" s="392"/>
      <c r="D294" s="393"/>
      <c r="E294" s="394"/>
      <c r="F294" s="394"/>
      <c r="G294" s="394"/>
      <c r="H294" s="394"/>
      <c r="I294" s="370"/>
      <c r="J294" s="391">
        <f>IF(OR(Report!$G$4=C294,Report!$H$4=C294),1,0)</f>
        <v>0</v>
      </c>
      <c r="K294" s="366">
        <f>SUM($J$25:J294)</f>
        <v>2</v>
      </c>
    </row>
    <row r="295" spans="1:11" ht="14.5" x14ac:dyDescent="0.35">
      <c r="A295" s="29" t="str">
        <f>IF(OR(C295&gt;Report!$H$4,C295&lt;Report!$G$4),"",IF(OR(J295*K295=1,K295-J295=1),'!'!$GJ$14,""))</f>
        <v/>
      </c>
      <c r="B295" s="366">
        <f>IF(A295="",0,COUNTIF($A$25:$A295,'!'!$GJ$14))</f>
        <v>0</v>
      </c>
      <c r="C295" s="392"/>
      <c r="D295" s="393"/>
      <c r="E295" s="394"/>
      <c r="F295" s="394"/>
      <c r="G295" s="394"/>
      <c r="H295" s="394"/>
      <c r="I295" s="370"/>
      <c r="J295" s="391">
        <f>IF(OR(Report!$G$4=C295,Report!$H$4=C295),1,0)</f>
        <v>0</v>
      </c>
      <c r="K295" s="366">
        <f>SUM($J$25:J295)</f>
        <v>2</v>
      </c>
    </row>
    <row r="296" spans="1:11" ht="14.5" x14ac:dyDescent="0.35">
      <c r="A296" s="29" t="str">
        <f>IF(OR(C296&gt;Report!$H$4,C296&lt;Report!$G$4),"",IF(OR(J296*K296=1,K296-J296=1),'!'!$GJ$14,""))</f>
        <v/>
      </c>
      <c r="B296" s="366">
        <f>IF(A296="",0,COUNTIF($A$25:$A296,'!'!$GJ$14))</f>
        <v>0</v>
      </c>
      <c r="C296" s="392"/>
      <c r="D296" s="393"/>
      <c r="E296" s="394"/>
      <c r="F296" s="394"/>
      <c r="G296" s="394"/>
      <c r="H296" s="394"/>
      <c r="I296" s="370"/>
      <c r="J296" s="391">
        <f>IF(OR(Report!$G$4=C296,Report!$H$4=C296),1,0)</f>
        <v>0</v>
      </c>
      <c r="K296" s="366">
        <f>SUM($J$25:J296)</f>
        <v>2</v>
      </c>
    </row>
    <row r="297" spans="1:11" ht="14.5" x14ac:dyDescent="0.35">
      <c r="A297" s="29" t="str">
        <f>IF(OR(C297&gt;Report!$H$4,C297&lt;Report!$G$4),"",IF(OR(J297*K297=1,K297-J297=1),'!'!$GJ$14,""))</f>
        <v/>
      </c>
      <c r="B297" s="366">
        <f>IF(A297="",0,COUNTIF($A$25:$A297,'!'!$GJ$14))</f>
        <v>0</v>
      </c>
      <c r="C297" s="392"/>
      <c r="D297" s="393"/>
      <c r="E297" s="394"/>
      <c r="F297" s="394"/>
      <c r="G297" s="394"/>
      <c r="H297" s="394"/>
      <c r="I297" s="370"/>
      <c r="J297" s="391">
        <f>IF(OR(Report!$G$4=C297,Report!$H$4=C297),1,0)</f>
        <v>0</v>
      </c>
      <c r="K297" s="366">
        <f>SUM($J$25:J297)</f>
        <v>2</v>
      </c>
    </row>
    <row r="298" spans="1:11" ht="14.5" x14ac:dyDescent="0.35">
      <c r="A298" s="29" t="str">
        <f>IF(OR(C298&gt;Report!$H$4,C298&lt;Report!$G$4),"",IF(OR(J298*K298=1,K298-J298=1),'!'!$GJ$14,""))</f>
        <v/>
      </c>
      <c r="B298" s="366">
        <f>IF(A298="",0,COUNTIF($A$25:$A298,'!'!$GJ$14))</f>
        <v>0</v>
      </c>
      <c r="C298" s="392"/>
      <c r="D298" s="393"/>
      <c r="E298" s="394"/>
      <c r="F298" s="394"/>
      <c r="G298" s="394"/>
      <c r="H298" s="394"/>
      <c r="I298" s="370"/>
      <c r="J298" s="391">
        <f>IF(OR(Report!$G$4=C298,Report!$H$4=C298),1,0)</f>
        <v>0</v>
      </c>
      <c r="K298" s="366">
        <f>SUM($J$25:J298)</f>
        <v>2</v>
      </c>
    </row>
    <row r="299" spans="1:11" ht="14.5" x14ac:dyDescent="0.35">
      <c r="A299" s="29" t="str">
        <f>IF(OR(C299&gt;Report!$H$4,C299&lt;Report!$G$4),"",IF(OR(J299*K299=1,K299-J299=1),'!'!$GJ$14,""))</f>
        <v/>
      </c>
      <c r="B299" s="366">
        <f>IF(A299="",0,COUNTIF($A$25:$A299,'!'!$GJ$14))</f>
        <v>0</v>
      </c>
      <c r="C299" s="392"/>
      <c r="D299" s="393"/>
      <c r="E299" s="394"/>
      <c r="F299" s="394"/>
      <c r="G299" s="394"/>
      <c r="H299" s="394"/>
      <c r="I299" s="370"/>
      <c r="J299" s="391">
        <f>IF(OR(Report!$G$4=C299,Report!$H$4=C299),1,0)</f>
        <v>0</v>
      </c>
      <c r="K299" s="366">
        <f>SUM($J$25:J299)</f>
        <v>2</v>
      </c>
    </row>
    <row r="300" spans="1:11" ht="14.5" x14ac:dyDescent="0.35">
      <c r="A300" s="29" t="str">
        <f>IF(OR(C300&gt;Report!$H$4,C300&lt;Report!$G$4),"",IF(OR(J300*K300=1,K300-J300=1),'!'!$GJ$14,""))</f>
        <v/>
      </c>
      <c r="B300" s="366">
        <f>IF(A300="",0,COUNTIF($A$25:$A300,'!'!$GJ$14))</f>
        <v>0</v>
      </c>
      <c r="C300" s="392"/>
      <c r="D300" s="393"/>
      <c r="E300" s="394"/>
      <c r="F300" s="394"/>
      <c r="G300" s="394"/>
      <c r="H300" s="394"/>
      <c r="I300" s="370"/>
      <c r="J300" s="391">
        <f>IF(OR(Report!$G$4=C300,Report!$H$4=C300),1,0)</f>
        <v>0</v>
      </c>
      <c r="K300" s="366">
        <f>SUM($J$25:J300)</f>
        <v>2</v>
      </c>
    </row>
    <row r="301" spans="1:11" ht="14.5" x14ac:dyDescent="0.35">
      <c r="A301" s="29" t="str">
        <f>IF(OR(C301&gt;Report!$H$4,C301&lt;Report!$G$4),"",IF(OR(J301*K301=1,K301-J301=1),'!'!$GJ$14,""))</f>
        <v/>
      </c>
      <c r="B301" s="366">
        <f>IF(A301="",0,COUNTIF($A$25:$A301,'!'!$GJ$14))</f>
        <v>0</v>
      </c>
      <c r="C301" s="392"/>
      <c r="D301" s="393"/>
      <c r="E301" s="394"/>
      <c r="F301" s="394"/>
      <c r="G301" s="394"/>
      <c r="H301" s="394"/>
      <c r="I301" s="370"/>
      <c r="J301" s="391">
        <f>IF(OR(Report!$G$4=C301,Report!$H$4=C301),1,0)</f>
        <v>0</v>
      </c>
      <c r="K301" s="366">
        <f>SUM($J$25:J301)</f>
        <v>2</v>
      </c>
    </row>
    <row r="302" spans="1:11" ht="14.5" x14ac:dyDescent="0.35">
      <c r="A302" s="29" t="str">
        <f>IF(OR(C302&gt;Report!$H$4,C302&lt;Report!$G$4),"",IF(OR(J302*K302=1,K302-J302=1),'!'!$GJ$14,""))</f>
        <v/>
      </c>
      <c r="B302" s="366">
        <f>IF(A302="",0,COUNTIF($A$25:$A302,'!'!$GJ$14))</f>
        <v>0</v>
      </c>
      <c r="C302" s="392"/>
      <c r="D302" s="393"/>
      <c r="E302" s="394"/>
      <c r="F302" s="394"/>
      <c r="G302" s="394"/>
      <c r="H302" s="394"/>
      <c r="I302" s="370"/>
      <c r="J302" s="391">
        <f>IF(OR(Report!$G$4=C302,Report!$H$4=C302),1,0)</f>
        <v>0</v>
      </c>
      <c r="K302" s="366">
        <f>SUM($J$25:J302)</f>
        <v>2</v>
      </c>
    </row>
    <row r="303" spans="1:11" ht="14.5" x14ac:dyDescent="0.35">
      <c r="A303" s="29" t="str">
        <f>IF(OR(C303&gt;Report!$H$4,C303&lt;Report!$G$4),"",IF(OR(J303*K303=1,K303-J303=1),'!'!$GJ$14,""))</f>
        <v/>
      </c>
      <c r="B303" s="366">
        <f>IF(A303="",0,COUNTIF($A$25:$A303,'!'!$GJ$14))</f>
        <v>0</v>
      </c>
      <c r="C303" s="392"/>
      <c r="D303" s="393"/>
      <c r="E303" s="394"/>
      <c r="F303" s="394"/>
      <c r="G303" s="394"/>
      <c r="H303" s="394"/>
      <c r="I303" s="370"/>
      <c r="J303" s="391">
        <f>IF(OR(Report!$G$4=C303,Report!$H$4=C303),1,0)</f>
        <v>0</v>
      </c>
      <c r="K303" s="366">
        <f>SUM($J$25:J303)</f>
        <v>2</v>
      </c>
    </row>
    <row r="304" spans="1:11" ht="14.5" x14ac:dyDescent="0.35">
      <c r="A304" s="29" t="str">
        <f>IF(OR(C304&gt;Report!$H$4,C304&lt;Report!$G$4),"",IF(OR(J304*K304=1,K304-J304=1),'!'!$GJ$14,""))</f>
        <v/>
      </c>
      <c r="B304" s="366">
        <f>IF(A304="",0,COUNTIF($A$25:$A304,'!'!$GJ$14))</f>
        <v>0</v>
      </c>
      <c r="C304" s="392"/>
      <c r="D304" s="393"/>
      <c r="E304" s="394"/>
      <c r="F304" s="394"/>
      <c r="G304" s="394"/>
      <c r="H304" s="394"/>
      <c r="I304" s="370"/>
      <c r="J304" s="391">
        <f>IF(OR(Report!$G$4=C304,Report!$H$4=C304),1,0)</f>
        <v>0</v>
      </c>
      <c r="K304" s="366">
        <f>SUM($J$25:J304)</f>
        <v>2</v>
      </c>
    </row>
    <row r="305" spans="1:11" ht="14.5" x14ac:dyDescent="0.35">
      <c r="A305" s="29" t="str">
        <f>IF(OR(C305&gt;Report!$H$4,C305&lt;Report!$G$4),"",IF(OR(J305*K305=1,K305-J305=1),'!'!$GJ$14,""))</f>
        <v/>
      </c>
      <c r="B305" s="366">
        <f>IF(A305="",0,COUNTIF($A$25:$A305,'!'!$GJ$14))</f>
        <v>0</v>
      </c>
      <c r="C305" s="392"/>
      <c r="D305" s="393"/>
      <c r="E305" s="394"/>
      <c r="F305" s="394"/>
      <c r="G305" s="394"/>
      <c r="H305" s="394"/>
      <c r="I305" s="370"/>
      <c r="J305" s="391">
        <f>IF(OR(Report!$G$4=C305,Report!$H$4=C305),1,0)</f>
        <v>0</v>
      </c>
      <c r="K305" s="366">
        <f>SUM($J$25:J305)</f>
        <v>2</v>
      </c>
    </row>
    <row r="306" spans="1:11" ht="14.5" x14ac:dyDescent="0.35">
      <c r="A306" s="29" t="str">
        <f>IF(OR(C306&gt;Report!$H$4,C306&lt;Report!$G$4),"",IF(OR(J306*K306=1,K306-J306=1),'!'!$GJ$14,""))</f>
        <v/>
      </c>
      <c r="B306" s="366">
        <f>IF(A306="",0,COUNTIF($A$25:$A306,'!'!$GJ$14))</f>
        <v>0</v>
      </c>
      <c r="C306" s="392"/>
      <c r="D306" s="393"/>
      <c r="E306" s="394"/>
      <c r="F306" s="394"/>
      <c r="G306" s="394"/>
      <c r="H306" s="394"/>
      <c r="I306" s="370"/>
      <c r="J306" s="391">
        <f>IF(OR(Report!$G$4=C306,Report!$H$4=C306),1,0)</f>
        <v>0</v>
      </c>
      <c r="K306" s="366">
        <f>SUM($J$25:J306)</f>
        <v>2</v>
      </c>
    </row>
    <row r="307" spans="1:11" ht="14.5" x14ac:dyDescent="0.35">
      <c r="A307" s="29" t="str">
        <f>IF(OR(C307&gt;Report!$H$4,C307&lt;Report!$G$4),"",IF(OR(J307*K307=1,K307-J307=1),'!'!$GJ$14,""))</f>
        <v/>
      </c>
      <c r="B307" s="366">
        <f>IF(A307="",0,COUNTIF($A$25:$A307,'!'!$GJ$14))</f>
        <v>0</v>
      </c>
      <c r="C307" s="392"/>
      <c r="D307" s="393"/>
      <c r="E307" s="394"/>
      <c r="F307" s="394"/>
      <c r="G307" s="394"/>
      <c r="H307" s="394"/>
      <c r="I307" s="370"/>
      <c r="J307" s="391">
        <f>IF(OR(Report!$G$4=C307,Report!$H$4=C307),1,0)</f>
        <v>0</v>
      </c>
      <c r="K307" s="366">
        <f>SUM($J$25:J307)</f>
        <v>2</v>
      </c>
    </row>
    <row r="308" spans="1:11" ht="14.5" x14ac:dyDescent="0.35">
      <c r="A308" s="29" t="str">
        <f>IF(OR(C308&gt;Report!$H$4,C308&lt;Report!$G$4),"",IF(OR(J308*K308=1,K308-J308=1),'!'!$GJ$14,""))</f>
        <v/>
      </c>
      <c r="B308" s="366">
        <f>IF(A308="",0,COUNTIF($A$25:$A308,'!'!$GJ$14))</f>
        <v>0</v>
      </c>
      <c r="C308" s="392"/>
      <c r="D308" s="393"/>
      <c r="E308" s="394"/>
      <c r="F308" s="394"/>
      <c r="G308" s="394"/>
      <c r="H308" s="394"/>
      <c r="I308" s="370"/>
      <c r="J308" s="391">
        <f>IF(OR(Report!$G$4=C308,Report!$H$4=C308),1,0)</f>
        <v>0</v>
      </c>
      <c r="K308" s="366">
        <f>SUM($J$25:J308)</f>
        <v>2</v>
      </c>
    </row>
    <row r="309" spans="1:11" ht="14.5" x14ac:dyDescent="0.35">
      <c r="A309" s="29" t="str">
        <f>IF(OR(C309&gt;Report!$H$4,C309&lt;Report!$G$4),"",IF(OR(J309*K309=1,K309-J309=1),'!'!$GJ$14,""))</f>
        <v/>
      </c>
      <c r="B309" s="366">
        <f>IF(A309="",0,COUNTIF($A$25:$A309,'!'!$GJ$14))</f>
        <v>0</v>
      </c>
      <c r="C309" s="392"/>
      <c r="D309" s="393"/>
      <c r="E309" s="394"/>
      <c r="F309" s="394"/>
      <c r="G309" s="394"/>
      <c r="H309" s="394"/>
      <c r="I309" s="370"/>
      <c r="J309" s="391">
        <f>IF(OR(Report!$G$4=C309,Report!$H$4=C309),1,0)</f>
        <v>0</v>
      </c>
      <c r="K309" s="366">
        <f>SUM($J$25:J309)</f>
        <v>2</v>
      </c>
    </row>
    <row r="310" spans="1:11" ht="14.5" x14ac:dyDescent="0.35">
      <c r="A310" s="29" t="str">
        <f>IF(OR(C310&gt;Report!$H$4,C310&lt;Report!$G$4),"",IF(OR(J310*K310=1,K310-J310=1),'!'!$GJ$14,""))</f>
        <v/>
      </c>
      <c r="B310" s="366">
        <f>IF(A310="",0,COUNTIF($A$25:$A310,'!'!$GJ$14))</f>
        <v>0</v>
      </c>
      <c r="C310" s="392"/>
      <c r="D310" s="393"/>
      <c r="E310" s="394"/>
      <c r="F310" s="394"/>
      <c r="G310" s="394"/>
      <c r="H310" s="394"/>
      <c r="I310" s="370"/>
      <c r="J310" s="391">
        <f>IF(OR(Report!$G$4=C310,Report!$H$4=C310),1,0)</f>
        <v>0</v>
      </c>
      <c r="K310" s="366">
        <f>SUM($J$25:J310)</f>
        <v>2</v>
      </c>
    </row>
    <row r="311" spans="1:11" ht="14.5" x14ac:dyDescent="0.35">
      <c r="A311" s="29" t="str">
        <f>IF(OR(C311&gt;Report!$H$4,C311&lt;Report!$G$4),"",IF(OR(J311*K311=1,K311-J311=1),'!'!$GJ$14,""))</f>
        <v/>
      </c>
      <c r="B311" s="366">
        <f>IF(A311="",0,COUNTIF($A$25:$A311,'!'!$GJ$14))</f>
        <v>0</v>
      </c>
      <c r="C311" s="392"/>
      <c r="D311" s="393"/>
      <c r="E311" s="394"/>
      <c r="F311" s="394"/>
      <c r="G311" s="394"/>
      <c r="H311" s="394"/>
      <c r="I311" s="370"/>
      <c r="J311" s="391">
        <f>IF(OR(Report!$G$4=C311,Report!$H$4=C311),1,0)</f>
        <v>0</v>
      </c>
      <c r="K311" s="366">
        <f>SUM($J$25:J311)</f>
        <v>2</v>
      </c>
    </row>
    <row r="312" spans="1:11" ht="14.5" x14ac:dyDescent="0.35">
      <c r="A312" s="29" t="str">
        <f>IF(OR(C312&gt;Report!$H$4,C312&lt;Report!$G$4),"",IF(OR(J312*K312=1,K312-J312=1),'!'!$GJ$14,""))</f>
        <v/>
      </c>
      <c r="B312" s="366">
        <f>IF(A312="",0,COUNTIF($A$25:$A312,'!'!$GJ$14))</f>
        <v>0</v>
      </c>
      <c r="C312" s="392"/>
      <c r="D312" s="393"/>
      <c r="E312" s="394"/>
      <c r="F312" s="394"/>
      <c r="G312" s="394"/>
      <c r="H312" s="394"/>
      <c r="I312" s="370"/>
      <c r="J312" s="391">
        <f>IF(OR(Report!$G$4=C312,Report!$H$4=C312),1,0)</f>
        <v>0</v>
      </c>
      <c r="K312" s="366">
        <f>SUM($J$25:J312)</f>
        <v>2</v>
      </c>
    </row>
    <row r="313" spans="1:11" ht="14.5" x14ac:dyDescent="0.35">
      <c r="A313" s="29" t="str">
        <f>IF(OR(C313&gt;Report!$H$4,C313&lt;Report!$G$4),"",IF(OR(J313*K313=1,K313-J313=1),'!'!$GJ$14,""))</f>
        <v/>
      </c>
      <c r="B313" s="366">
        <f>IF(A313="",0,COUNTIF($A$25:$A313,'!'!$GJ$14))</f>
        <v>0</v>
      </c>
      <c r="C313" s="392"/>
      <c r="D313" s="393"/>
      <c r="E313" s="394"/>
      <c r="F313" s="394"/>
      <c r="G313" s="394"/>
      <c r="H313" s="394"/>
      <c r="I313" s="370"/>
      <c r="J313" s="391">
        <f>IF(OR(Report!$G$4=C313,Report!$H$4=C313),1,0)</f>
        <v>0</v>
      </c>
      <c r="K313" s="366">
        <f>SUM($J$25:J313)</f>
        <v>2</v>
      </c>
    </row>
    <row r="314" spans="1:11" ht="14.5" x14ac:dyDescent="0.35">
      <c r="A314" s="29" t="str">
        <f>IF(OR(C314&gt;Report!$H$4,C314&lt;Report!$G$4),"",IF(OR(J314*K314=1,K314-J314=1),'!'!$GJ$14,""))</f>
        <v/>
      </c>
      <c r="B314" s="366">
        <f>IF(A314="",0,COUNTIF($A$25:$A314,'!'!$GJ$14))</f>
        <v>0</v>
      </c>
      <c r="C314" s="392"/>
      <c r="D314" s="393"/>
      <c r="E314" s="394"/>
      <c r="F314" s="394"/>
      <c r="G314" s="394"/>
      <c r="H314" s="394"/>
      <c r="I314" s="370"/>
      <c r="J314" s="391">
        <f>IF(OR(Report!$G$4=C314,Report!$H$4=C314),1,0)</f>
        <v>0</v>
      </c>
      <c r="K314" s="366">
        <f>SUM($J$25:J314)</f>
        <v>2</v>
      </c>
    </row>
    <row r="315" spans="1:11" ht="14.5" x14ac:dyDescent="0.35">
      <c r="A315" s="29" t="str">
        <f>IF(OR(C315&gt;Report!$H$4,C315&lt;Report!$G$4),"",IF(OR(J315*K315=1,K315-J315=1),'!'!$GJ$14,""))</f>
        <v/>
      </c>
      <c r="B315" s="366">
        <f>IF(A315="",0,COUNTIF($A$25:$A315,'!'!$GJ$14))</f>
        <v>0</v>
      </c>
      <c r="C315" s="392"/>
      <c r="D315" s="393"/>
      <c r="E315" s="394"/>
      <c r="F315" s="394"/>
      <c r="G315" s="394"/>
      <c r="H315" s="394"/>
      <c r="I315" s="370"/>
      <c r="J315" s="391">
        <f>IF(OR(Report!$G$4=C315,Report!$H$4=C315),1,0)</f>
        <v>0</v>
      </c>
      <c r="K315" s="366">
        <f>SUM($J$25:J315)</f>
        <v>2</v>
      </c>
    </row>
    <row r="316" spans="1:11" ht="14.5" x14ac:dyDescent="0.35">
      <c r="A316" s="29" t="str">
        <f>IF(OR(C316&gt;Report!$H$4,C316&lt;Report!$G$4),"",IF(OR(J316*K316=1,K316-J316=1),'!'!$GJ$14,""))</f>
        <v/>
      </c>
      <c r="B316" s="366">
        <f>IF(A316="",0,COUNTIF($A$25:$A316,'!'!$GJ$14))</f>
        <v>0</v>
      </c>
      <c r="C316" s="392"/>
      <c r="D316" s="393"/>
      <c r="E316" s="394"/>
      <c r="F316" s="394"/>
      <c r="G316" s="394"/>
      <c r="H316" s="394"/>
      <c r="I316" s="370"/>
      <c r="J316" s="391">
        <f>IF(OR(Report!$G$4=C316,Report!$H$4=C316),1,0)</f>
        <v>0</v>
      </c>
      <c r="K316" s="366">
        <f>SUM($J$25:J316)</f>
        <v>2</v>
      </c>
    </row>
    <row r="317" spans="1:11" ht="14.5" x14ac:dyDescent="0.35">
      <c r="A317" s="29" t="str">
        <f>IF(OR(C317&gt;Report!$H$4,C317&lt;Report!$G$4),"",IF(OR(J317*K317=1,K317-J317=1),'!'!$GJ$14,""))</f>
        <v/>
      </c>
      <c r="B317" s="366">
        <f>IF(A317="",0,COUNTIF($A$25:$A317,'!'!$GJ$14))</f>
        <v>0</v>
      </c>
      <c r="C317" s="392"/>
      <c r="D317" s="393"/>
      <c r="E317" s="394"/>
      <c r="F317" s="394"/>
      <c r="G317" s="394"/>
      <c r="H317" s="394"/>
      <c r="I317" s="370"/>
      <c r="J317" s="391">
        <f>IF(OR(Report!$G$4=C317,Report!$H$4=C317),1,0)</f>
        <v>0</v>
      </c>
      <c r="K317" s="366">
        <f>SUM($J$25:J317)</f>
        <v>2</v>
      </c>
    </row>
    <row r="318" spans="1:11" ht="14.5" x14ac:dyDescent="0.35">
      <c r="A318" s="29" t="str">
        <f>IF(OR(C318&gt;Report!$H$4,C318&lt;Report!$G$4),"",IF(OR(J318*K318=1,K318-J318=1),'!'!$GJ$14,""))</f>
        <v/>
      </c>
      <c r="B318" s="366">
        <f>IF(A318="",0,COUNTIF($A$25:$A318,'!'!$GJ$14))</f>
        <v>0</v>
      </c>
      <c r="C318" s="392"/>
      <c r="D318" s="393"/>
      <c r="E318" s="394"/>
      <c r="F318" s="394"/>
      <c r="G318" s="394"/>
      <c r="H318" s="394"/>
      <c r="I318" s="370"/>
      <c r="J318" s="391">
        <f>IF(OR(Report!$G$4=C318,Report!$H$4=C318),1,0)</f>
        <v>0</v>
      </c>
      <c r="K318" s="366">
        <f>SUM($J$25:J318)</f>
        <v>2</v>
      </c>
    </row>
    <row r="319" spans="1:11" ht="14.5" x14ac:dyDescent="0.35">
      <c r="A319" s="29" t="str">
        <f>IF(OR(C319&gt;Report!$H$4,C319&lt;Report!$G$4),"",IF(OR(J319*K319=1,K319-J319=1),'!'!$GJ$14,""))</f>
        <v/>
      </c>
      <c r="B319" s="366">
        <f>IF(A319="",0,COUNTIF($A$25:$A319,'!'!$GJ$14))</f>
        <v>0</v>
      </c>
      <c r="C319" s="392"/>
      <c r="D319" s="393"/>
      <c r="E319" s="394"/>
      <c r="F319" s="394"/>
      <c r="G319" s="394"/>
      <c r="H319" s="394"/>
      <c r="I319" s="370"/>
      <c r="J319" s="391">
        <f>IF(OR(Report!$G$4=C319,Report!$H$4=C319),1,0)</f>
        <v>0</v>
      </c>
      <c r="K319" s="366">
        <f>SUM($J$25:J319)</f>
        <v>2</v>
      </c>
    </row>
    <row r="320" spans="1:11" ht="14.5" x14ac:dyDescent="0.35">
      <c r="A320" s="29" t="str">
        <f>IF(OR(C320&gt;Report!$H$4,C320&lt;Report!$G$4),"",IF(OR(J320*K320=1,K320-J320=1),'!'!$GJ$14,""))</f>
        <v/>
      </c>
      <c r="B320" s="366">
        <f>IF(A320="",0,COUNTIF($A$25:$A320,'!'!$GJ$14))</f>
        <v>0</v>
      </c>
      <c r="C320" s="392"/>
      <c r="D320" s="393"/>
      <c r="E320" s="394"/>
      <c r="F320" s="394"/>
      <c r="G320" s="394"/>
      <c r="H320" s="394"/>
      <c r="I320" s="370"/>
      <c r="J320" s="391">
        <f>IF(OR(Report!$G$4=C320,Report!$H$4=C320),1,0)</f>
        <v>0</v>
      </c>
      <c r="K320" s="366">
        <f>SUM($J$25:J320)</f>
        <v>2</v>
      </c>
    </row>
    <row r="321" spans="1:11" ht="14.5" x14ac:dyDescent="0.35">
      <c r="A321" s="29" t="str">
        <f>IF(OR(C321&gt;Report!$H$4,C321&lt;Report!$G$4),"",IF(OR(J321*K321=1,K321-J321=1),'!'!$GJ$14,""))</f>
        <v/>
      </c>
      <c r="B321" s="366">
        <f>IF(A321="",0,COUNTIF($A$25:$A321,'!'!$GJ$14))</f>
        <v>0</v>
      </c>
      <c r="C321" s="392"/>
      <c r="D321" s="393"/>
      <c r="E321" s="394"/>
      <c r="F321" s="394"/>
      <c r="G321" s="394"/>
      <c r="H321" s="394"/>
      <c r="I321" s="370"/>
      <c r="J321" s="391">
        <f>IF(OR(Report!$G$4=C321,Report!$H$4=C321),1,0)</f>
        <v>0</v>
      </c>
      <c r="K321" s="366">
        <f>SUM($J$25:J321)</f>
        <v>2</v>
      </c>
    </row>
    <row r="322" spans="1:11" ht="14.5" x14ac:dyDescent="0.35">
      <c r="A322" s="29" t="str">
        <f>IF(OR(C322&gt;Report!$H$4,C322&lt;Report!$G$4),"",IF(OR(J322*K322=1,K322-J322=1),'!'!$GJ$14,""))</f>
        <v/>
      </c>
      <c r="B322" s="366">
        <f>IF(A322="",0,COUNTIF($A$25:$A322,'!'!$GJ$14))</f>
        <v>0</v>
      </c>
      <c r="C322" s="392"/>
      <c r="D322" s="393"/>
      <c r="E322" s="394"/>
      <c r="F322" s="394"/>
      <c r="G322" s="394"/>
      <c r="H322" s="394"/>
      <c r="I322" s="370"/>
      <c r="J322" s="391">
        <f>IF(OR(Report!$G$4=C322,Report!$H$4=C322),1,0)</f>
        <v>0</v>
      </c>
      <c r="K322" s="366">
        <f>SUM($J$25:J322)</f>
        <v>2</v>
      </c>
    </row>
    <row r="323" spans="1:11" ht="14.5" x14ac:dyDescent="0.35">
      <c r="A323" s="29" t="str">
        <f>IF(OR(C323&gt;Report!$H$4,C323&lt;Report!$G$4),"",IF(OR(J323*K323=1,K323-J323=1),'!'!$GJ$14,""))</f>
        <v/>
      </c>
      <c r="B323" s="366">
        <f>IF(A323="",0,COUNTIF($A$25:$A323,'!'!$GJ$14))</f>
        <v>0</v>
      </c>
      <c r="C323" s="392"/>
      <c r="D323" s="393"/>
      <c r="E323" s="394"/>
      <c r="F323" s="394"/>
      <c r="G323" s="394"/>
      <c r="H323" s="394"/>
      <c r="I323" s="370"/>
      <c r="J323" s="391">
        <f>IF(OR(Report!$G$4=C323,Report!$H$4=C323),1,0)</f>
        <v>0</v>
      </c>
      <c r="K323" s="366">
        <f>SUM($J$25:J323)</f>
        <v>2</v>
      </c>
    </row>
    <row r="324" spans="1:11" ht="14.5" x14ac:dyDescent="0.35">
      <c r="A324" s="29" t="str">
        <f>IF(OR(C324&gt;Report!$H$4,C324&lt;Report!$G$4),"",IF(OR(J324*K324=1,K324-J324=1),'!'!$GJ$14,""))</f>
        <v/>
      </c>
      <c r="B324" s="366">
        <f>IF(A324="",0,COUNTIF($A$25:$A324,'!'!$GJ$14))</f>
        <v>0</v>
      </c>
      <c r="C324" s="392"/>
      <c r="D324" s="393"/>
      <c r="E324" s="394"/>
      <c r="F324" s="394"/>
      <c r="G324" s="394"/>
      <c r="H324" s="394"/>
      <c r="I324" s="370"/>
      <c r="J324" s="391">
        <f>IF(OR(Report!$G$4=C324,Report!$H$4=C324),1,0)</f>
        <v>0</v>
      </c>
      <c r="K324" s="366">
        <f>SUM($J$25:J324)</f>
        <v>2</v>
      </c>
    </row>
    <row r="325" spans="1:11" ht="14.5" x14ac:dyDescent="0.35">
      <c r="A325" s="29" t="str">
        <f>IF(OR(C325&gt;Report!$H$4,C325&lt;Report!$G$4),"",IF(OR(J325*K325=1,K325-J325=1),'!'!$GJ$14,""))</f>
        <v/>
      </c>
      <c r="B325" s="366">
        <f>IF(A325="",0,COUNTIF($A$25:$A325,'!'!$GJ$14))</f>
        <v>0</v>
      </c>
      <c r="C325" s="392"/>
      <c r="D325" s="393"/>
      <c r="E325" s="394"/>
      <c r="F325" s="394"/>
      <c r="G325" s="394"/>
      <c r="H325" s="394"/>
      <c r="I325" s="370"/>
      <c r="J325" s="391">
        <f>IF(OR(Report!$G$4=C325,Report!$H$4=C325),1,0)</f>
        <v>0</v>
      </c>
      <c r="K325" s="366">
        <f>SUM($J$25:J325)</f>
        <v>2</v>
      </c>
    </row>
    <row r="326" spans="1:11" ht="14.5" x14ac:dyDescent="0.35">
      <c r="A326" s="29" t="str">
        <f>IF(OR(C326&gt;Report!$H$4,C326&lt;Report!$G$4),"",IF(OR(J326*K326=1,K326-J326=1),'!'!$GJ$14,""))</f>
        <v/>
      </c>
      <c r="B326" s="366">
        <f>IF(A326="",0,COUNTIF($A$25:$A326,'!'!$GJ$14))</f>
        <v>0</v>
      </c>
      <c r="C326" s="392"/>
      <c r="D326" s="393"/>
      <c r="E326" s="394"/>
      <c r="F326" s="394"/>
      <c r="G326" s="394"/>
      <c r="H326" s="394"/>
      <c r="I326" s="370"/>
      <c r="J326" s="391">
        <f>IF(OR(Report!$G$4=C326,Report!$H$4=C326),1,0)</f>
        <v>0</v>
      </c>
      <c r="K326" s="366">
        <f>SUM($J$25:J326)</f>
        <v>2</v>
      </c>
    </row>
    <row r="327" spans="1:11" ht="14.5" x14ac:dyDescent="0.35">
      <c r="A327" s="29" t="str">
        <f>IF(OR(C327&gt;Report!$H$4,C327&lt;Report!$G$4),"",IF(OR(J327*K327=1,K327-J327=1),'!'!$GJ$14,""))</f>
        <v/>
      </c>
      <c r="B327" s="366">
        <f>IF(A327="",0,COUNTIF($A$25:$A327,'!'!$GJ$14))</f>
        <v>0</v>
      </c>
      <c r="C327" s="392"/>
      <c r="D327" s="393"/>
      <c r="E327" s="394"/>
      <c r="F327" s="394"/>
      <c r="G327" s="394"/>
      <c r="H327" s="394"/>
      <c r="I327" s="370"/>
      <c r="J327" s="391">
        <f>IF(OR(Report!$G$4=C327,Report!$H$4=C327),1,0)</f>
        <v>0</v>
      </c>
      <c r="K327" s="366">
        <f>SUM($J$25:J327)</f>
        <v>2</v>
      </c>
    </row>
    <row r="328" spans="1:11" ht="14.5" x14ac:dyDescent="0.35">
      <c r="A328" s="29" t="str">
        <f>IF(OR(C328&gt;Report!$H$4,C328&lt;Report!$G$4),"",IF(OR(J328*K328=1,K328-J328=1),'!'!$GJ$14,""))</f>
        <v/>
      </c>
      <c r="B328" s="366">
        <f>IF(A328="",0,COUNTIF($A$25:$A328,'!'!$GJ$14))</f>
        <v>0</v>
      </c>
      <c r="C328" s="392"/>
      <c r="D328" s="393"/>
      <c r="E328" s="394"/>
      <c r="F328" s="394"/>
      <c r="G328" s="394"/>
      <c r="H328" s="394"/>
      <c r="I328" s="370"/>
      <c r="J328" s="391">
        <f>IF(OR(Report!$G$4=C328,Report!$H$4=C328),1,0)</f>
        <v>0</v>
      </c>
      <c r="K328" s="366">
        <f>SUM($J$25:J328)</f>
        <v>2</v>
      </c>
    </row>
    <row r="329" spans="1:11" ht="14.5" x14ac:dyDescent="0.35">
      <c r="A329" s="29" t="str">
        <f>IF(OR(C329&gt;Report!$H$4,C329&lt;Report!$G$4),"",IF(OR(J329*K329=1,K329-J329=1),'!'!$GJ$14,""))</f>
        <v/>
      </c>
      <c r="B329" s="366">
        <f>IF(A329="",0,COUNTIF($A$25:$A329,'!'!$GJ$14))</f>
        <v>0</v>
      </c>
      <c r="C329" s="392"/>
      <c r="D329" s="393"/>
      <c r="E329" s="394"/>
      <c r="F329" s="394"/>
      <c r="G329" s="394"/>
      <c r="H329" s="394"/>
      <c r="I329" s="370"/>
      <c r="J329" s="391">
        <f>IF(OR(Report!$G$4=C329,Report!$H$4=C329),1,0)</f>
        <v>0</v>
      </c>
      <c r="K329" s="366">
        <f>SUM($J$25:J329)</f>
        <v>2</v>
      </c>
    </row>
    <row r="330" spans="1:11" ht="14.5" x14ac:dyDescent="0.35">
      <c r="A330" s="29" t="str">
        <f>IF(OR(C330&gt;Report!$H$4,C330&lt;Report!$G$4),"",IF(OR(J330*K330=1,K330-J330=1),'!'!$GJ$14,""))</f>
        <v/>
      </c>
      <c r="B330" s="366">
        <f>IF(A330="",0,COUNTIF($A$25:$A330,'!'!$GJ$14))</f>
        <v>0</v>
      </c>
      <c r="C330" s="392"/>
      <c r="D330" s="393"/>
      <c r="E330" s="394"/>
      <c r="F330" s="394"/>
      <c r="G330" s="394"/>
      <c r="H330" s="394"/>
      <c r="I330" s="370"/>
      <c r="J330" s="391">
        <f>IF(OR(Report!$G$4=C330,Report!$H$4=C330),1,0)</f>
        <v>0</v>
      </c>
      <c r="K330" s="366">
        <f>SUM($J$25:J330)</f>
        <v>2</v>
      </c>
    </row>
    <row r="331" spans="1:11" ht="14.5" x14ac:dyDescent="0.35">
      <c r="A331" s="29" t="str">
        <f>IF(OR(C331&gt;Report!$H$4,C331&lt;Report!$G$4),"",IF(OR(J331*K331=1,K331-J331=1),'!'!$GJ$14,""))</f>
        <v/>
      </c>
      <c r="B331" s="366">
        <f>IF(A331="",0,COUNTIF($A$25:$A331,'!'!$GJ$14))</f>
        <v>0</v>
      </c>
      <c r="C331" s="392"/>
      <c r="D331" s="393"/>
      <c r="E331" s="394"/>
      <c r="F331" s="394"/>
      <c r="G331" s="394"/>
      <c r="H331" s="394"/>
      <c r="I331" s="370"/>
      <c r="J331" s="391">
        <f>IF(OR(Report!$G$4=C331,Report!$H$4=C331),1,0)</f>
        <v>0</v>
      </c>
      <c r="K331" s="366">
        <f>SUM($J$25:J331)</f>
        <v>2</v>
      </c>
    </row>
    <row r="332" spans="1:11" ht="14.5" x14ac:dyDescent="0.35">
      <c r="A332" s="29" t="str">
        <f>IF(OR(C332&gt;Report!$H$4,C332&lt;Report!$G$4),"",IF(OR(J332*K332=1,K332-J332=1),'!'!$GJ$14,""))</f>
        <v/>
      </c>
      <c r="B332" s="366">
        <f>IF(A332="",0,COUNTIF($A$25:$A332,'!'!$GJ$14))</f>
        <v>0</v>
      </c>
      <c r="C332" s="392"/>
      <c r="D332" s="393"/>
      <c r="E332" s="394"/>
      <c r="F332" s="394"/>
      <c r="G332" s="394"/>
      <c r="H332" s="394"/>
      <c r="I332" s="370"/>
      <c r="J332" s="391">
        <f>IF(OR(Report!$G$4=C332,Report!$H$4=C332),1,0)</f>
        <v>0</v>
      </c>
      <c r="K332" s="366">
        <f>SUM($J$25:J332)</f>
        <v>2</v>
      </c>
    </row>
    <row r="333" spans="1:11" ht="14.5" x14ac:dyDescent="0.35">
      <c r="A333" s="29" t="str">
        <f>IF(OR(C333&gt;Report!$H$4,C333&lt;Report!$G$4),"",IF(OR(J333*K333=1,K333-J333=1),'!'!$GJ$14,""))</f>
        <v/>
      </c>
      <c r="B333" s="366">
        <f>IF(A333="",0,COUNTIF($A$25:$A333,'!'!$GJ$14))</f>
        <v>0</v>
      </c>
      <c r="C333" s="392"/>
      <c r="D333" s="393"/>
      <c r="E333" s="394"/>
      <c r="F333" s="394"/>
      <c r="G333" s="394"/>
      <c r="H333" s="394"/>
      <c r="I333" s="370"/>
      <c r="J333" s="391">
        <f>IF(OR(Report!$G$4=C333,Report!$H$4=C333),1,0)</f>
        <v>0</v>
      </c>
      <c r="K333" s="366">
        <f>SUM($J$25:J333)</f>
        <v>2</v>
      </c>
    </row>
    <row r="334" spans="1:11" ht="14.5" x14ac:dyDescent="0.35">
      <c r="A334" s="29" t="str">
        <f>IF(OR(C334&gt;Report!$H$4,C334&lt;Report!$G$4),"",IF(OR(J334*K334=1,K334-J334=1),'!'!$GJ$14,""))</f>
        <v/>
      </c>
      <c r="B334" s="366">
        <f>IF(A334="",0,COUNTIF($A$25:$A334,'!'!$GJ$14))</f>
        <v>0</v>
      </c>
      <c r="C334" s="392"/>
      <c r="D334" s="393"/>
      <c r="E334" s="394"/>
      <c r="F334" s="394"/>
      <c r="G334" s="394"/>
      <c r="H334" s="394"/>
      <c r="I334" s="370"/>
      <c r="J334" s="391">
        <f>IF(OR(Report!$G$4=C334,Report!$H$4=C334),1,0)</f>
        <v>0</v>
      </c>
      <c r="K334" s="366">
        <f>SUM($J$25:J334)</f>
        <v>2</v>
      </c>
    </row>
    <row r="335" spans="1:11" ht="14.5" x14ac:dyDescent="0.35">
      <c r="A335" s="29" t="str">
        <f>IF(OR(C335&gt;Report!$H$4,C335&lt;Report!$G$4),"",IF(OR(J335*K335=1,K335-J335=1),'!'!$GJ$14,""))</f>
        <v/>
      </c>
      <c r="B335" s="366">
        <f>IF(A335="",0,COUNTIF($A$25:$A335,'!'!$GJ$14))</f>
        <v>0</v>
      </c>
      <c r="C335" s="392"/>
      <c r="D335" s="393"/>
      <c r="E335" s="394"/>
      <c r="F335" s="394"/>
      <c r="G335" s="394"/>
      <c r="H335" s="394"/>
      <c r="I335" s="370"/>
      <c r="J335" s="391">
        <f>IF(OR(Report!$G$4=C335,Report!$H$4=C335),1,0)</f>
        <v>0</v>
      </c>
      <c r="K335" s="366">
        <f>SUM($J$25:J335)</f>
        <v>2</v>
      </c>
    </row>
    <row r="336" spans="1:11" ht="14.5" x14ac:dyDescent="0.35">
      <c r="A336" s="29" t="str">
        <f>IF(OR(C336&gt;Report!$H$4,C336&lt;Report!$G$4),"",IF(OR(J336*K336=1,K336-J336=1),'!'!$GJ$14,""))</f>
        <v/>
      </c>
      <c r="B336" s="366">
        <f>IF(A336="",0,COUNTIF($A$25:$A336,'!'!$GJ$14))</f>
        <v>0</v>
      </c>
      <c r="C336" s="392"/>
      <c r="D336" s="393"/>
      <c r="E336" s="394"/>
      <c r="F336" s="394"/>
      <c r="G336" s="394"/>
      <c r="H336" s="394"/>
      <c r="I336" s="370"/>
      <c r="J336" s="391">
        <f>IF(OR(Report!$G$4=C336,Report!$H$4=C336),1,0)</f>
        <v>0</v>
      </c>
      <c r="K336" s="366">
        <f>SUM($J$25:J336)</f>
        <v>2</v>
      </c>
    </row>
    <row r="337" spans="1:11" ht="14.5" x14ac:dyDescent="0.35">
      <c r="A337" s="29" t="str">
        <f>IF(OR(C337&gt;Report!$H$4,C337&lt;Report!$G$4),"",IF(OR(J337*K337=1,K337-J337=1),'!'!$GJ$14,""))</f>
        <v/>
      </c>
      <c r="B337" s="366">
        <f>IF(A337="",0,COUNTIF($A$25:$A337,'!'!$GJ$14))</f>
        <v>0</v>
      </c>
      <c r="C337" s="392"/>
      <c r="D337" s="393"/>
      <c r="E337" s="394"/>
      <c r="F337" s="394"/>
      <c r="G337" s="394"/>
      <c r="H337" s="394"/>
      <c r="I337" s="370"/>
      <c r="J337" s="391">
        <f>IF(OR(Report!$G$4=C337,Report!$H$4=C337),1,0)</f>
        <v>0</v>
      </c>
      <c r="K337" s="366">
        <f>SUM($J$25:J337)</f>
        <v>2</v>
      </c>
    </row>
    <row r="338" spans="1:11" ht="14.5" x14ac:dyDescent="0.35">
      <c r="A338" s="29" t="str">
        <f>IF(OR(C338&gt;Report!$H$4,C338&lt;Report!$G$4),"",IF(OR(J338*K338=1,K338-J338=1),'!'!$GJ$14,""))</f>
        <v/>
      </c>
      <c r="B338" s="366">
        <f>IF(A338="",0,COUNTIF($A$25:$A338,'!'!$GJ$14))</f>
        <v>0</v>
      </c>
      <c r="C338" s="392"/>
      <c r="D338" s="393"/>
      <c r="E338" s="394"/>
      <c r="F338" s="394"/>
      <c r="G338" s="394"/>
      <c r="H338" s="394"/>
      <c r="I338" s="370"/>
      <c r="J338" s="391">
        <f>IF(OR(Report!$G$4=C338,Report!$H$4=C338),1,0)</f>
        <v>0</v>
      </c>
      <c r="K338" s="366">
        <f>SUM($J$25:J338)</f>
        <v>2</v>
      </c>
    </row>
    <row r="339" spans="1:11" ht="14.5" x14ac:dyDescent="0.35">
      <c r="A339" s="29" t="str">
        <f>IF(OR(C339&gt;Report!$H$4,C339&lt;Report!$G$4),"",IF(OR(J339*K339=1,K339-J339=1),'!'!$GJ$14,""))</f>
        <v/>
      </c>
      <c r="B339" s="366">
        <f>IF(A339="",0,COUNTIF($A$25:$A339,'!'!$GJ$14))</f>
        <v>0</v>
      </c>
      <c r="C339" s="392"/>
      <c r="D339" s="393"/>
      <c r="E339" s="394"/>
      <c r="F339" s="394"/>
      <c r="G339" s="394"/>
      <c r="H339" s="394"/>
      <c r="I339" s="370"/>
      <c r="J339" s="391">
        <f>IF(OR(Report!$G$4=C339,Report!$H$4=C339),1,0)</f>
        <v>0</v>
      </c>
      <c r="K339" s="366">
        <f>SUM($J$25:J339)</f>
        <v>2</v>
      </c>
    </row>
    <row r="340" spans="1:11" ht="14.5" x14ac:dyDescent="0.35">
      <c r="A340" s="29" t="str">
        <f>IF(OR(C340&gt;Report!$H$4,C340&lt;Report!$G$4),"",IF(OR(J340*K340=1,K340-J340=1),'!'!$GJ$14,""))</f>
        <v/>
      </c>
      <c r="B340" s="366">
        <f>IF(A340="",0,COUNTIF($A$25:$A340,'!'!$GJ$14))</f>
        <v>0</v>
      </c>
      <c r="C340" s="392"/>
      <c r="D340" s="393"/>
      <c r="E340" s="394"/>
      <c r="F340" s="394"/>
      <c r="G340" s="394"/>
      <c r="H340" s="394"/>
      <c r="I340" s="370"/>
      <c r="J340" s="391">
        <f>IF(OR(Report!$G$4=C340,Report!$H$4=C340),1,0)</f>
        <v>0</v>
      </c>
      <c r="K340" s="366">
        <f>SUM($J$25:J340)</f>
        <v>2</v>
      </c>
    </row>
    <row r="341" spans="1:11" ht="14.5" x14ac:dyDescent="0.35">
      <c r="A341" s="29" t="str">
        <f>IF(OR(C341&gt;Report!$H$4,C341&lt;Report!$G$4),"",IF(OR(J341*K341=1,K341-J341=1),'!'!$GJ$14,""))</f>
        <v/>
      </c>
      <c r="B341" s="366">
        <f>IF(A341="",0,COUNTIF($A$25:$A341,'!'!$GJ$14))</f>
        <v>0</v>
      </c>
      <c r="C341" s="392"/>
      <c r="D341" s="393"/>
      <c r="E341" s="394"/>
      <c r="F341" s="394"/>
      <c r="G341" s="394"/>
      <c r="H341" s="394"/>
      <c r="I341" s="370"/>
      <c r="J341" s="391">
        <f>IF(OR(Report!$G$4=C341,Report!$H$4=C341),1,0)</f>
        <v>0</v>
      </c>
      <c r="K341" s="366">
        <f>SUM($J$25:J341)</f>
        <v>2</v>
      </c>
    </row>
    <row r="342" spans="1:11" ht="14.5" x14ac:dyDescent="0.35">
      <c r="A342" s="29" t="str">
        <f>IF(OR(C342&gt;Report!$H$4,C342&lt;Report!$G$4),"",IF(OR(J342*K342=1,K342-J342=1),'!'!$GJ$14,""))</f>
        <v/>
      </c>
      <c r="B342" s="366">
        <f>IF(A342="",0,COUNTIF($A$25:$A342,'!'!$GJ$14))</f>
        <v>0</v>
      </c>
      <c r="C342" s="392"/>
      <c r="D342" s="393"/>
      <c r="E342" s="394"/>
      <c r="F342" s="394"/>
      <c r="G342" s="394"/>
      <c r="H342" s="394"/>
      <c r="I342" s="370"/>
      <c r="J342" s="391">
        <f>IF(OR(Report!$G$4=C342,Report!$H$4=C342),1,0)</f>
        <v>0</v>
      </c>
      <c r="K342" s="366">
        <f>SUM($J$25:J342)</f>
        <v>2</v>
      </c>
    </row>
    <row r="343" spans="1:11" ht="14.5" x14ac:dyDescent="0.35">
      <c r="A343" s="29" t="str">
        <f>IF(OR(C343&gt;Report!$H$4,C343&lt;Report!$G$4),"",IF(OR(J343*K343=1,K343-J343=1),'!'!$GJ$14,""))</f>
        <v/>
      </c>
      <c r="B343" s="366">
        <f>IF(A343="",0,COUNTIF($A$25:$A343,'!'!$GJ$14))</f>
        <v>0</v>
      </c>
      <c r="C343" s="392"/>
      <c r="D343" s="393"/>
      <c r="E343" s="394"/>
      <c r="F343" s="394"/>
      <c r="G343" s="394"/>
      <c r="H343" s="394"/>
      <c r="I343" s="370"/>
      <c r="J343" s="391">
        <f>IF(OR(Report!$G$4=C343,Report!$H$4=C343),1,0)</f>
        <v>0</v>
      </c>
      <c r="K343" s="366">
        <f>SUM($J$25:J343)</f>
        <v>2</v>
      </c>
    </row>
    <row r="344" spans="1:11" ht="14.5" x14ac:dyDescent="0.35">
      <c r="A344" s="29" t="str">
        <f>IF(OR(C344&gt;Report!$H$4,C344&lt;Report!$G$4),"",IF(OR(J344*K344=1,K344-J344=1),'!'!$GJ$14,""))</f>
        <v/>
      </c>
      <c r="B344" s="366">
        <f>IF(A344="",0,COUNTIF($A$25:$A344,'!'!$GJ$14))</f>
        <v>0</v>
      </c>
      <c r="C344" s="392"/>
      <c r="D344" s="393"/>
      <c r="E344" s="394"/>
      <c r="F344" s="394"/>
      <c r="G344" s="394"/>
      <c r="H344" s="394"/>
      <c r="I344" s="370"/>
      <c r="J344" s="391">
        <f>IF(OR(Report!$G$4=C344,Report!$H$4=C344),1,0)</f>
        <v>0</v>
      </c>
      <c r="K344" s="366">
        <f>SUM($J$25:J344)</f>
        <v>2</v>
      </c>
    </row>
    <row r="345" spans="1:11" ht="14.5" x14ac:dyDescent="0.35">
      <c r="A345" s="29" t="str">
        <f>IF(OR(C345&gt;Report!$H$4,C345&lt;Report!$G$4),"",IF(OR(J345*K345=1,K345-J345=1),'!'!$GJ$14,""))</f>
        <v/>
      </c>
      <c r="B345" s="366">
        <f>IF(A345="",0,COUNTIF($A$25:$A345,'!'!$GJ$14))</f>
        <v>0</v>
      </c>
      <c r="C345" s="392"/>
      <c r="D345" s="393"/>
      <c r="E345" s="394"/>
      <c r="F345" s="394"/>
      <c r="G345" s="394"/>
      <c r="H345" s="394"/>
      <c r="I345" s="370"/>
      <c r="J345" s="391">
        <f>IF(OR(Report!$G$4=C345,Report!$H$4=C345),1,0)</f>
        <v>0</v>
      </c>
      <c r="K345" s="366">
        <f>SUM($J$25:J345)</f>
        <v>2</v>
      </c>
    </row>
    <row r="346" spans="1:11" ht="14.5" x14ac:dyDescent="0.35">
      <c r="A346" s="29" t="str">
        <f>IF(OR(C346&gt;Report!$H$4,C346&lt;Report!$G$4),"",IF(OR(J346*K346=1,K346-J346=1),'!'!$GJ$14,""))</f>
        <v/>
      </c>
      <c r="B346" s="366">
        <f>IF(A346="",0,COUNTIF($A$25:$A346,'!'!$GJ$14))</f>
        <v>0</v>
      </c>
      <c r="C346" s="392"/>
      <c r="D346" s="393"/>
      <c r="E346" s="394"/>
      <c r="F346" s="394"/>
      <c r="G346" s="394"/>
      <c r="H346" s="394"/>
      <c r="I346" s="370"/>
      <c r="J346" s="391">
        <f>IF(OR(Report!$G$4=C346,Report!$H$4=C346),1,0)</f>
        <v>0</v>
      </c>
      <c r="K346" s="366">
        <f>SUM($J$25:J346)</f>
        <v>2</v>
      </c>
    </row>
    <row r="347" spans="1:11" ht="14.5" x14ac:dyDescent="0.35">
      <c r="A347" s="29" t="str">
        <f>IF(OR(C347&gt;Report!$H$4,C347&lt;Report!$G$4),"",IF(OR(J347*K347=1,K347-J347=1),'!'!$GJ$14,""))</f>
        <v/>
      </c>
      <c r="B347" s="366">
        <f>IF(A347="",0,COUNTIF($A$25:$A347,'!'!$GJ$14))</f>
        <v>0</v>
      </c>
      <c r="C347" s="392"/>
      <c r="D347" s="393"/>
      <c r="E347" s="394"/>
      <c r="F347" s="394"/>
      <c r="G347" s="394"/>
      <c r="H347" s="394"/>
      <c r="I347" s="370"/>
      <c r="J347" s="391">
        <f>IF(OR(Report!$G$4=C347,Report!$H$4=C347),1,0)</f>
        <v>0</v>
      </c>
      <c r="K347" s="366">
        <f>SUM($J$25:J347)</f>
        <v>2</v>
      </c>
    </row>
    <row r="348" spans="1:11" ht="14.5" x14ac:dyDescent="0.35">
      <c r="A348" s="29" t="str">
        <f>IF(OR(C348&gt;Report!$H$4,C348&lt;Report!$G$4),"",IF(OR(J348*K348=1,K348-J348=1),'!'!$GJ$14,""))</f>
        <v/>
      </c>
      <c r="B348" s="366">
        <f>IF(A348="",0,COUNTIF($A$25:$A348,'!'!$GJ$14))</f>
        <v>0</v>
      </c>
      <c r="C348" s="392"/>
      <c r="D348" s="393"/>
      <c r="E348" s="394"/>
      <c r="F348" s="394"/>
      <c r="G348" s="394"/>
      <c r="H348" s="394"/>
      <c r="I348" s="370"/>
      <c r="J348" s="391">
        <f>IF(OR(Report!$G$4=C348,Report!$H$4=C348),1,0)</f>
        <v>0</v>
      </c>
      <c r="K348" s="366">
        <f>SUM($J$25:J348)</f>
        <v>2</v>
      </c>
    </row>
    <row r="349" spans="1:11" ht="14.5" x14ac:dyDescent="0.35">
      <c r="A349" s="29" t="str">
        <f>IF(OR(C349&gt;Report!$H$4,C349&lt;Report!$G$4),"",IF(OR(J349*K349=1,K349-J349=1),'!'!$GJ$14,""))</f>
        <v/>
      </c>
      <c r="B349" s="366">
        <f>IF(A349="",0,COUNTIF($A$25:$A349,'!'!$GJ$14))</f>
        <v>0</v>
      </c>
      <c r="C349" s="392"/>
      <c r="D349" s="393"/>
      <c r="E349" s="394"/>
      <c r="F349" s="394"/>
      <c r="G349" s="394"/>
      <c r="H349" s="394"/>
      <c r="I349" s="370"/>
      <c r="J349" s="391">
        <f>IF(OR(Report!$G$4=C349,Report!$H$4=C349),1,0)</f>
        <v>0</v>
      </c>
      <c r="K349" s="366">
        <f>SUM($J$25:J349)</f>
        <v>2</v>
      </c>
    </row>
    <row r="350" spans="1:11" ht="14.5" x14ac:dyDescent="0.35">
      <c r="A350" s="29" t="str">
        <f>IF(OR(C350&gt;Report!$H$4,C350&lt;Report!$G$4),"",IF(OR(J350*K350=1,K350-J350=1),'!'!$GJ$14,""))</f>
        <v/>
      </c>
      <c r="B350" s="366">
        <f>IF(A350="",0,COUNTIF($A$25:$A350,'!'!$GJ$14))</f>
        <v>0</v>
      </c>
      <c r="C350" s="392"/>
      <c r="D350" s="393"/>
      <c r="E350" s="394"/>
      <c r="F350" s="394"/>
      <c r="G350" s="394"/>
      <c r="H350" s="394"/>
      <c r="I350" s="370"/>
      <c r="J350" s="391">
        <f>IF(OR(Report!$G$4=C350,Report!$H$4=C350),1,0)</f>
        <v>0</v>
      </c>
      <c r="K350" s="366">
        <f>SUM($J$25:J350)</f>
        <v>2</v>
      </c>
    </row>
    <row r="351" spans="1:11" ht="14.5" x14ac:dyDescent="0.35">
      <c r="A351" s="29" t="str">
        <f>IF(OR(C351&gt;Report!$H$4,C351&lt;Report!$G$4),"",IF(OR(J351*K351=1,K351-J351=1),'!'!$GJ$14,""))</f>
        <v/>
      </c>
      <c r="B351" s="366">
        <f>IF(A351="",0,COUNTIF($A$25:$A351,'!'!$GJ$14))</f>
        <v>0</v>
      </c>
      <c r="C351" s="392"/>
      <c r="D351" s="393"/>
      <c r="E351" s="394"/>
      <c r="F351" s="394"/>
      <c r="G351" s="394"/>
      <c r="H351" s="394"/>
      <c r="I351" s="370"/>
      <c r="J351" s="391">
        <f>IF(OR(Report!$G$4=C351,Report!$H$4=C351),1,0)</f>
        <v>0</v>
      </c>
      <c r="K351" s="366">
        <f>SUM($J$25:J351)</f>
        <v>2</v>
      </c>
    </row>
    <row r="352" spans="1:11" ht="14.5" x14ac:dyDescent="0.35">
      <c r="A352" s="29" t="str">
        <f>IF(OR(C352&gt;Report!$H$4,C352&lt;Report!$G$4),"",IF(OR(J352*K352=1,K352-J352=1),'!'!$GJ$14,""))</f>
        <v/>
      </c>
      <c r="B352" s="366">
        <f>IF(A352="",0,COUNTIF($A$25:$A352,'!'!$GJ$14))</f>
        <v>0</v>
      </c>
      <c r="C352" s="392"/>
      <c r="D352" s="393"/>
      <c r="E352" s="394"/>
      <c r="F352" s="394"/>
      <c r="G352" s="394"/>
      <c r="H352" s="394"/>
      <c r="I352" s="370"/>
      <c r="J352" s="391">
        <f>IF(OR(Report!$G$4=C352,Report!$H$4=C352),1,0)</f>
        <v>0</v>
      </c>
      <c r="K352" s="366">
        <f>SUM($J$25:J352)</f>
        <v>2</v>
      </c>
    </row>
    <row r="353" spans="1:11" ht="14.5" x14ac:dyDescent="0.35">
      <c r="A353" s="29" t="str">
        <f>IF(OR(C353&gt;Report!$H$4,C353&lt;Report!$G$4),"",IF(OR(J353*K353=1,K353-J353=1),'!'!$GJ$14,""))</f>
        <v/>
      </c>
      <c r="B353" s="366">
        <f>IF(A353="",0,COUNTIF($A$25:$A353,'!'!$GJ$14))</f>
        <v>0</v>
      </c>
      <c r="C353" s="392"/>
      <c r="D353" s="393"/>
      <c r="E353" s="394"/>
      <c r="F353" s="394"/>
      <c r="G353" s="394"/>
      <c r="H353" s="394"/>
      <c r="I353" s="370"/>
      <c r="J353" s="391">
        <f>IF(OR(Report!$G$4=C353,Report!$H$4=C353),1,0)</f>
        <v>0</v>
      </c>
      <c r="K353" s="366">
        <f>SUM($J$25:J353)</f>
        <v>2</v>
      </c>
    </row>
    <row r="354" spans="1:11" ht="14.5" x14ac:dyDescent="0.35">
      <c r="A354" s="29" t="str">
        <f>IF(OR(C354&gt;Report!$H$4,C354&lt;Report!$G$4),"",IF(OR(J354*K354=1,K354-J354=1),'!'!$GJ$14,""))</f>
        <v/>
      </c>
      <c r="B354" s="366">
        <f>IF(A354="",0,COUNTIF($A$25:$A354,'!'!$GJ$14))</f>
        <v>0</v>
      </c>
      <c r="C354" s="392"/>
      <c r="D354" s="393"/>
      <c r="E354" s="394"/>
      <c r="F354" s="394"/>
      <c r="G354" s="394"/>
      <c r="H354" s="394"/>
      <c r="I354" s="370"/>
      <c r="J354" s="391">
        <f>IF(OR(Report!$G$4=C354,Report!$H$4=C354),1,0)</f>
        <v>0</v>
      </c>
      <c r="K354" s="366">
        <f>SUM($J$25:J354)</f>
        <v>2</v>
      </c>
    </row>
    <row r="355" spans="1:11" ht="14.5" x14ac:dyDescent="0.35">
      <c r="A355" s="29" t="str">
        <f>IF(OR(C355&gt;Report!$H$4,C355&lt;Report!$G$4),"",IF(OR(J355*K355=1,K355-J355=1),'!'!$GJ$14,""))</f>
        <v/>
      </c>
      <c r="B355" s="366">
        <f>IF(A355="",0,COUNTIF($A$25:$A355,'!'!$GJ$14))</f>
        <v>0</v>
      </c>
      <c r="C355" s="392"/>
      <c r="D355" s="393"/>
      <c r="E355" s="394"/>
      <c r="F355" s="394"/>
      <c r="G355" s="394"/>
      <c r="H355" s="394"/>
      <c r="I355" s="370"/>
      <c r="J355" s="391">
        <f>IF(OR(Report!$G$4=C355,Report!$H$4=C355),1,0)</f>
        <v>0</v>
      </c>
      <c r="K355" s="366">
        <f>SUM($J$25:J355)</f>
        <v>2</v>
      </c>
    </row>
    <row r="356" spans="1:11" ht="14.5" x14ac:dyDescent="0.35">
      <c r="A356" s="29" t="str">
        <f>IF(OR(C356&gt;Report!$H$4,C356&lt;Report!$G$4),"",IF(OR(J356*K356=1,K356-J356=1),'!'!$GJ$14,""))</f>
        <v/>
      </c>
      <c r="B356" s="366">
        <f>IF(A356="",0,COUNTIF($A$25:$A356,'!'!$GJ$14))</f>
        <v>0</v>
      </c>
      <c r="C356" s="392"/>
      <c r="D356" s="393"/>
      <c r="E356" s="394"/>
      <c r="F356" s="394"/>
      <c r="G356" s="394"/>
      <c r="H356" s="394"/>
      <c r="I356" s="370"/>
      <c r="J356" s="391">
        <f>IF(OR(Report!$G$4=C356,Report!$H$4=C356),1,0)</f>
        <v>0</v>
      </c>
      <c r="K356" s="366">
        <f>SUM($J$25:J356)</f>
        <v>2</v>
      </c>
    </row>
    <row r="357" spans="1:11" ht="14.5" x14ac:dyDescent="0.35">
      <c r="A357" s="29" t="str">
        <f>IF(OR(C357&gt;Report!$H$4,C357&lt;Report!$G$4),"",IF(OR(J357*K357=1,K357-J357=1),'!'!$GJ$14,""))</f>
        <v/>
      </c>
      <c r="B357" s="366">
        <f>IF(A357="",0,COUNTIF($A$25:$A357,'!'!$GJ$14))</f>
        <v>0</v>
      </c>
      <c r="C357" s="392"/>
      <c r="D357" s="393"/>
      <c r="E357" s="394"/>
      <c r="F357" s="394"/>
      <c r="G357" s="394"/>
      <c r="H357" s="394"/>
      <c r="I357" s="370"/>
      <c r="J357" s="391">
        <f>IF(OR(Report!$G$4=C357,Report!$H$4=C357),1,0)</f>
        <v>0</v>
      </c>
      <c r="K357" s="366">
        <f>SUM($J$25:J357)</f>
        <v>2</v>
      </c>
    </row>
    <row r="358" spans="1:11" ht="14.5" x14ac:dyDescent="0.35">
      <c r="A358" s="29" t="str">
        <f>IF(OR(C358&gt;Report!$H$4,C358&lt;Report!$G$4),"",IF(OR(J358*K358=1,K358-J358=1),'!'!$GJ$14,""))</f>
        <v/>
      </c>
      <c r="B358" s="366">
        <f>IF(A358="",0,COUNTIF($A$25:$A358,'!'!$GJ$14))</f>
        <v>0</v>
      </c>
      <c r="C358" s="392"/>
      <c r="D358" s="393"/>
      <c r="E358" s="394"/>
      <c r="F358" s="394"/>
      <c r="G358" s="394"/>
      <c r="H358" s="394"/>
      <c r="I358" s="370"/>
      <c r="J358" s="391">
        <f>IF(OR(Report!$G$4=C358,Report!$H$4=C358),1,0)</f>
        <v>0</v>
      </c>
      <c r="K358" s="366">
        <f>SUM($J$25:J358)</f>
        <v>2</v>
      </c>
    </row>
    <row r="359" spans="1:11" ht="14.5" x14ac:dyDescent="0.35">
      <c r="A359" s="29" t="str">
        <f>IF(OR(C359&gt;Report!$H$4,C359&lt;Report!$G$4),"",IF(OR(J359*K359=1,K359-J359=1),'!'!$GJ$14,""))</f>
        <v/>
      </c>
      <c r="B359" s="366">
        <f>IF(A359="",0,COUNTIF($A$25:$A359,'!'!$GJ$14))</f>
        <v>0</v>
      </c>
      <c r="C359" s="392"/>
      <c r="D359" s="393"/>
      <c r="E359" s="394"/>
      <c r="F359" s="394"/>
      <c r="G359" s="394"/>
      <c r="H359" s="394"/>
      <c r="I359" s="370"/>
      <c r="J359" s="391">
        <f>IF(OR(Report!$G$4=C359,Report!$H$4=C359),1,0)</f>
        <v>0</v>
      </c>
      <c r="K359" s="366">
        <f>SUM($J$25:J359)</f>
        <v>2</v>
      </c>
    </row>
    <row r="360" spans="1:11" ht="14.5" x14ac:dyDescent="0.35">
      <c r="A360" s="29" t="str">
        <f>IF(OR(C360&gt;Report!$H$4,C360&lt;Report!$G$4),"",IF(OR(J360*K360=1,K360-J360=1),'!'!$GJ$14,""))</f>
        <v/>
      </c>
      <c r="B360" s="366">
        <f>IF(A360="",0,COUNTIF($A$25:$A360,'!'!$GJ$14))</f>
        <v>0</v>
      </c>
      <c r="C360" s="392"/>
      <c r="D360" s="393"/>
      <c r="E360" s="394"/>
      <c r="F360" s="394"/>
      <c r="G360" s="394"/>
      <c r="H360" s="394"/>
      <c r="I360" s="370"/>
      <c r="J360" s="391">
        <f>IF(OR(Report!$G$4=C360,Report!$H$4=C360),1,0)</f>
        <v>0</v>
      </c>
      <c r="K360" s="366">
        <f>SUM($J$25:J360)</f>
        <v>2</v>
      </c>
    </row>
    <row r="361" spans="1:11" ht="14.5" x14ac:dyDescent="0.35">
      <c r="A361" s="29" t="str">
        <f>IF(OR(C361&gt;Report!$H$4,C361&lt;Report!$G$4),"",IF(OR(J361*K361=1,K361-J361=1),'!'!$GJ$14,""))</f>
        <v/>
      </c>
      <c r="B361" s="366">
        <f>IF(A361="",0,COUNTIF($A$25:$A361,'!'!$GJ$14))</f>
        <v>0</v>
      </c>
      <c r="C361" s="392"/>
      <c r="D361" s="393"/>
      <c r="E361" s="394"/>
      <c r="F361" s="394"/>
      <c r="G361" s="394"/>
      <c r="H361" s="394"/>
      <c r="I361" s="370"/>
      <c r="J361" s="391">
        <f>IF(OR(Report!$G$4=C361,Report!$H$4=C361),1,0)</f>
        <v>0</v>
      </c>
      <c r="K361" s="366">
        <f>SUM($J$25:J361)</f>
        <v>2</v>
      </c>
    </row>
    <row r="362" spans="1:11" ht="14.5" x14ac:dyDescent="0.35">
      <c r="A362" s="29" t="str">
        <f>IF(OR(C362&gt;Report!$H$4,C362&lt;Report!$G$4),"",IF(OR(J362*K362=1,K362-J362=1),'!'!$GJ$14,""))</f>
        <v/>
      </c>
      <c r="B362" s="366">
        <f>IF(A362="",0,COUNTIF($A$25:$A362,'!'!$GJ$14))</f>
        <v>0</v>
      </c>
      <c r="C362" s="392"/>
      <c r="D362" s="393"/>
      <c r="E362" s="394"/>
      <c r="F362" s="394"/>
      <c r="G362" s="394"/>
      <c r="H362" s="394"/>
      <c r="I362" s="370"/>
      <c r="J362" s="391">
        <f>IF(OR(Report!$G$4=C362,Report!$H$4=C362),1,0)</f>
        <v>0</v>
      </c>
      <c r="K362" s="366">
        <f>SUM($J$25:J362)</f>
        <v>2</v>
      </c>
    </row>
    <row r="363" spans="1:11" ht="14.5" x14ac:dyDescent="0.35">
      <c r="A363" s="29" t="str">
        <f>IF(OR(C363&gt;Report!$H$4,C363&lt;Report!$G$4),"",IF(OR(J363*K363=1,K363-J363=1),'!'!$GJ$14,""))</f>
        <v/>
      </c>
      <c r="B363" s="366">
        <f>IF(A363="",0,COUNTIF($A$25:$A363,'!'!$GJ$14))</f>
        <v>0</v>
      </c>
      <c r="C363" s="392"/>
      <c r="D363" s="393"/>
      <c r="E363" s="394"/>
      <c r="F363" s="394"/>
      <c r="G363" s="394"/>
      <c r="H363" s="394"/>
      <c r="I363" s="370"/>
      <c r="J363" s="391">
        <f>IF(OR(Report!$G$4=C363,Report!$H$4=C363),1,0)</f>
        <v>0</v>
      </c>
      <c r="K363" s="366">
        <f>SUM($J$25:J363)</f>
        <v>2</v>
      </c>
    </row>
    <row r="364" spans="1:11" ht="14.5" x14ac:dyDescent="0.35">
      <c r="A364" s="29" t="str">
        <f>IF(OR(C364&gt;Report!$H$4,C364&lt;Report!$G$4),"",IF(OR(J364*K364=1,K364-J364=1),'!'!$GJ$14,""))</f>
        <v/>
      </c>
      <c r="B364" s="366">
        <f>IF(A364="",0,COUNTIF($A$25:$A364,'!'!$GJ$14))</f>
        <v>0</v>
      </c>
      <c r="C364" s="392"/>
      <c r="D364" s="393"/>
      <c r="E364" s="394"/>
      <c r="F364" s="394"/>
      <c r="G364" s="394"/>
      <c r="H364" s="394"/>
      <c r="I364" s="370"/>
      <c r="J364" s="391">
        <f>IF(OR(Report!$G$4=C364,Report!$H$4=C364),1,0)</f>
        <v>0</v>
      </c>
      <c r="K364" s="366">
        <f>SUM($J$25:J364)</f>
        <v>2</v>
      </c>
    </row>
    <row r="365" spans="1:11" ht="14.5" x14ac:dyDescent="0.35">
      <c r="A365" s="29" t="str">
        <f>IF(OR(C365&gt;Report!$H$4,C365&lt;Report!$G$4),"",IF(OR(J365*K365=1,K365-J365=1),'!'!$GJ$14,""))</f>
        <v/>
      </c>
      <c r="B365" s="366">
        <f>IF(A365="",0,COUNTIF($A$25:$A365,'!'!$GJ$14))</f>
        <v>0</v>
      </c>
      <c r="C365" s="392"/>
      <c r="D365" s="393"/>
      <c r="E365" s="394"/>
      <c r="F365" s="394"/>
      <c r="G365" s="394"/>
      <c r="H365" s="394"/>
      <c r="I365" s="370"/>
      <c r="J365" s="391">
        <f>IF(OR(Report!$G$4=C365,Report!$H$4=C365),1,0)</f>
        <v>0</v>
      </c>
      <c r="K365" s="366">
        <f>SUM($J$25:J365)</f>
        <v>2</v>
      </c>
    </row>
    <row r="366" spans="1:11" ht="14.5" x14ac:dyDescent="0.35">
      <c r="A366" s="29" t="str">
        <f>IF(OR(C366&gt;Report!$H$4,C366&lt;Report!$G$4),"",IF(OR(J366*K366=1,K366-J366=1),'!'!$GJ$14,""))</f>
        <v/>
      </c>
      <c r="B366" s="366">
        <f>IF(A366="",0,COUNTIF($A$25:$A366,'!'!$GJ$14))</f>
        <v>0</v>
      </c>
      <c r="C366" s="392"/>
      <c r="D366" s="393"/>
      <c r="E366" s="394"/>
      <c r="F366" s="394"/>
      <c r="G366" s="394"/>
      <c r="H366" s="394"/>
      <c r="I366" s="370"/>
      <c r="J366" s="391">
        <f>IF(OR(Report!$G$4=C366,Report!$H$4=C366),1,0)</f>
        <v>0</v>
      </c>
      <c r="K366" s="366">
        <f>SUM($J$25:J366)</f>
        <v>2</v>
      </c>
    </row>
    <row r="367" spans="1:11" ht="14.5" x14ac:dyDescent="0.35">
      <c r="A367" s="29" t="str">
        <f>IF(OR(C367&gt;Report!$H$4,C367&lt;Report!$G$4),"",IF(OR(J367*K367=1,K367-J367=1),'!'!$GJ$14,""))</f>
        <v/>
      </c>
      <c r="B367" s="366">
        <f>IF(A367="",0,COUNTIF($A$25:$A367,'!'!$GJ$14))</f>
        <v>0</v>
      </c>
      <c r="C367" s="392"/>
      <c r="D367" s="393"/>
      <c r="E367" s="394"/>
      <c r="F367" s="394"/>
      <c r="G367" s="394"/>
      <c r="H367" s="394"/>
      <c r="I367" s="370"/>
      <c r="J367" s="391">
        <f>IF(OR(Report!$G$4=C367,Report!$H$4=C367),1,0)</f>
        <v>0</v>
      </c>
      <c r="K367" s="366">
        <f>SUM($J$25:J367)</f>
        <v>2</v>
      </c>
    </row>
    <row r="368" spans="1:11" ht="14.5" x14ac:dyDescent="0.35">
      <c r="A368" s="29" t="str">
        <f>IF(OR(C368&gt;Report!$H$4,C368&lt;Report!$G$4),"",IF(OR(J368*K368=1,K368-J368=1),'!'!$GJ$14,""))</f>
        <v/>
      </c>
      <c r="B368" s="366">
        <f>IF(A368="",0,COUNTIF($A$25:$A368,'!'!$GJ$14))</f>
        <v>0</v>
      </c>
      <c r="C368" s="392"/>
      <c r="D368" s="393"/>
      <c r="E368" s="394"/>
      <c r="F368" s="394"/>
      <c r="G368" s="394"/>
      <c r="H368" s="394"/>
      <c r="I368" s="370"/>
      <c r="J368" s="391">
        <f>IF(OR(Report!$G$4=C368,Report!$H$4=C368),1,0)</f>
        <v>0</v>
      </c>
      <c r="K368" s="366">
        <f>SUM($J$25:J368)</f>
        <v>2</v>
      </c>
    </row>
    <row r="369" spans="1:11" ht="14.5" x14ac:dyDescent="0.35">
      <c r="A369" s="29" t="str">
        <f>IF(OR(C369&gt;Report!$H$4,C369&lt;Report!$G$4),"",IF(OR(J369*K369=1,K369-J369=1),'!'!$GJ$14,""))</f>
        <v/>
      </c>
      <c r="B369" s="366">
        <f>IF(A369="",0,COUNTIF($A$25:$A369,'!'!$GJ$14))</f>
        <v>0</v>
      </c>
      <c r="C369" s="392"/>
      <c r="D369" s="393"/>
      <c r="E369" s="394"/>
      <c r="F369" s="394"/>
      <c r="G369" s="394"/>
      <c r="H369" s="394"/>
      <c r="I369" s="370"/>
      <c r="J369" s="391">
        <f>IF(OR(Report!$G$4=C369,Report!$H$4=C369),1,0)</f>
        <v>0</v>
      </c>
      <c r="K369" s="366">
        <f>SUM($J$25:J369)</f>
        <v>2</v>
      </c>
    </row>
    <row r="370" spans="1:11" ht="14.5" x14ac:dyDescent="0.35">
      <c r="A370" s="29" t="str">
        <f>IF(OR(C370&gt;Report!$H$4,C370&lt;Report!$G$4),"",IF(OR(J370*K370=1,K370-J370=1),'!'!$GJ$14,""))</f>
        <v/>
      </c>
      <c r="B370" s="366">
        <f>IF(A370="",0,COUNTIF($A$25:$A370,'!'!$GJ$14))</f>
        <v>0</v>
      </c>
      <c r="C370" s="392"/>
      <c r="D370" s="393"/>
      <c r="E370" s="394"/>
      <c r="F370" s="394"/>
      <c r="G370" s="394"/>
      <c r="H370" s="394"/>
      <c r="I370" s="370"/>
      <c r="J370" s="391">
        <f>IF(OR(Report!$G$4=C370,Report!$H$4=C370),1,0)</f>
        <v>0</v>
      </c>
      <c r="K370" s="366">
        <f>SUM($J$25:J370)</f>
        <v>2</v>
      </c>
    </row>
    <row r="371" spans="1:11" ht="14.5" x14ac:dyDescent="0.35">
      <c r="A371" s="29" t="str">
        <f>IF(OR(C371&gt;Report!$H$4,C371&lt;Report!$G$4),"",IF(OR(J371*K371=1,K371-J371=1),'!'!$GJ$14,""))</f>
        <v/>
      </c>
      <c r="B371" s="366">
        <f>IF(A371="",0,COUNTIF($A$25:$A371,'!'!$GJ$14))</f>
        <v>0</v>
      </c>
      <c r="C371" s="392"/>
      <c r="D371" s="393"/>
      <c r="E371" s="394"/>
      <c r="F371" s="394"/>
      <c r="G371" s="394"/>
      <c r="H371" s="394"/>
      <c r="I371" s="370"/>
      <c r="J371" s="391">
        <f>IF(OR(Report!$G$4=C371,Report!$H$4=C371),1,0)</f>
        <v>0</v>
      </c>
      <c r="K371" s="366">
        <f>SUM($J$25:J371)</f>
        <v>2</v>
      </c>
    </row>
    <row r="372" spans="1:11" ht="14.5" x14ac:dyDescent="0.35">
      <c r="A372" s="29" t="str">
        <f>IF(OR(C372&gt;Report!$H$4,C372&lt;Report!$G$4),"",IF(OR(J372*K372=1,K372-J372=1),'!'!$GJ$14,""))</f>
        <v/>
      </c>
      <c r="B372" s="366">
        <f>IF(A372="",0,COUNTIF($A$25:$A372,'!'!$GJ$14))</f>
        <v>0</v>
      </c>
      <c r="C372" s="392"/>
      <c r="D372" s="393"/>
      <c r="E372" s="394"/>
      <c r="F372" s="394"/>
      <c r="G372" s="394"/>
      <c r="H372" s="394"/>
      <c r="I372" s="370"/>
      <c r="J372" s="391">
        <f>IF(OR(Report!$G$4=C372,Report!$H$4=C372),1,0)</f>
        <v>0</v>
      </c>
      <c r="K372" s="366">
        <f>SUM($J$25:J372)</f>
        <v>2</v>
      </c>
    </row>
    <row r="373" spans="1:11" ht="14.5" x14ac:dyDescent="0.35">
      <c r="A373" s="29" t="str">
        <f>IF(OR(C373&gt;Report!$H$4,C373&lt;Report!$G$4),"",IF(OR(J373*K373=1,K373-J373=1),'!'!$GJ$14,""))</f>
        <v/>
      </c>
      <c r="B373" s="366">
        <f>IF(A373="",0,COUNTIF($A$25:$A373,'!'!$GJ$14))</f>
        <v>0</v>
      </c>
      <c r="C373" s="392"/>
      <c r="D373" s="393"/>
      <c r="E373" s="394"/>
      <c r="F373" s="394"/>
      <c r="G373" s="394"/>
      <c r="H373" s="394"/>
      <c r="I373" s="370"/>
      <c r="J373" s="391">
        <f>IF(OR(Report!$G$4=C373,Report!$H$4=C373),1,0)</f>
        <v>0</v>
      </c>
      <c r="K373" s="366">
        <f>SUM($J$25:J373)</f>
        <v>2</v>
      </c>
    </row>
    <row r="374" spans="1:11" ht="14.5" x14ac:dyDescent="0.35">
      <c r="A374" s="29" t="str">
        <f>IF(OR(C374&gt;Report!$H$4,C374&lt;Report!$G$4),"",IF(OR(J374*K374=1,K374-J374=1),'!'!$GJ$14,""))</f>
        <v/>
      </c>
      <c r="B374" s="366">
        <f>IF(A374="",0,COUNTIF($A$25:$A374,'!'!$GJ$14))</f>
        <v>0</v>
      </c>
      <c r="C374" s="392"/>
      <c r="D374" s="393"/>
      <c r="E374" s="394"/>
      <c r="F374" s="394"/>
      <c r="G374" s="394"/>
      <c r="H374" s="394"/>
      <c r="I374" s="370"/>
      <c r="J374" s="391">
        <f>IF(OR(Report!$G$4=C374,Report!$H$4=C374),1,0)</f>
        <v>0</v>
      </c>
      <c r="K374" s="366">
        <f>SUM($J$25:J374)</f>
        <v>2</v>
      </c>
    </row>
    <row r="375" spans="1:11" ht="14.5" x14ac:dyDescent="0.35">
      <c r="A375" s="29" t="str">
        <f>IF(OR(C375&gt;Report!$H$4,C375&lt;Report!$G$4),"",IF(OR(J375*K375=1,K375-J375=1),'!'!$GJ$14,""))</f>
        <v/>
      </c>
      <c r="B375" s="366">
        <f>IF(A375="",0,COUNTIF($A$25:$A375,'!'!$GJ$14))</f>
        <v>0</v>
      </c>
      <c r="C375" s="392"/>
      <c r="D375" s="393"/>
      <c r="E375" s="394"/>
      <c r="F375" s="394"/>
      <c r="G375" s="394"/>
      <c r="H375" s="394"/>
      <c r="I375" s="370"/>
      <c r="J375" s="391">
        <f>IF(OR(Report!$G$4=C375,Report!$H$4=C375),1,0)</f>
        <v>0</v>
      </c>
      <c r="K375" s="366">
        <f>SUM($J$25:J375)</f>
        <v>2</v>
      </c>
    </row>
    <row r="376" spans="1:11" ht="14.5" x14ac:dyDescent="0.35">
      <c r="A376" s="29" t="str">
        <f>IF(OR(C376&gt;Report!$H$4,C376&lt;Report!$G$4),"",IF(OR(J376*K376=1,K376-J376=1),'!'!$GJ$14,""))</f>
        <v/>
      </c>
      <c r="B376" s="366">
        <f>IF(A376="",0,COUNTIF($A$25:$A376,'!'!$GJ$14))</f>
        <v>0</v>
      </c>
      <c r="C376" s="392"/>
      <c r="D376" s="393"/>
      <c r="E376" s="394"/>
      <c r="F376" s="394"/>
      <c r="G376" s="394"/>
      <c r="H376" s="394"/>
      <c r="I376" s="370"/>
      <c r="J376" s="391">
        <f>IF(OR(Report!$G$4=C376,Report!$H$4=C376),1,0)</f>
        <v>0</v>
      </c>
      <c r="K376" s="366">
        <f>SUM($J$25:J376)</f>
        <v>2</v>
      </c>
    </row>
    <row r="377" spans="1:11" ht="14.5" x14ac:dyDescent="0.35">
      <c r="A377" s="29" t="str">
        <f>IF(OR(C377&gt;Report!$H$4,C377&lt;Report!$G$4),"",IF(OR(J377*K377=1,K377-J377=1),'!'!$GJ$14,""))</f>
        <v/>
      </c>
      <c r="B377" s="366">
        <f>IF(A377="",0,COUNTIF($A$25:$A377,'!'!$GJ$14))</f>
        <v>0</v>
      </c>
      <c r="C377" s="392"/>
      <c r="D377" s="393"/>
      <c r="E377" s="394"/>
      <c r="F377" s="394"/>
      <c r="G377" s="394"/>
      <c r="H377" s="394"/>
      <c r="I377" s="370"/>
      <c r="J377" s="391">
        <f>IF(OR(Report!$G$4=C377,Report!$H$4=C377),1,0)</f>
        <v>0</v>
      </c>
      <c r="K377" s="366">
        <f>SUM($J$25:J377)</f>
        <v>2</v>
      </c>
    </row>
    <row r="378" spans="1:11" ht="14.5" x14ac:dyDescent="0.35">
      <c r="A378" s="29" t="str">
        <f>IF(OR(C378&gt;Report!$H$4,C378&lt;Report!$G$4),"",IF(OR(J378*K378=1,K378-J378=1),'!'!$GJ$14,""))</f>
        <v/>
      </c>
      <c r="B378" s="366">
        <f>IF(A378="",0,COUNTIF($A$25:$A378,'!'!$GJ$14))</f>
        <v>0</v>
      </c>
      <c r="C378" s="392"/>
      <c r="D378" s="393"/>
      <c r="E378" s="394"/>
      <c r="F378" s="394"/>
      <c r="G378" s="394"/>
      <c r="H378" s="394"/>
      <c r="I378" s="370"/>
      <c r="J378" s="391">
        <f>IF(OR(Report!$G$4=C378,Report!$H$4=C378),1,0)</f>
        <v>0</v>
      </c>
      <c r="K378" s="366">
        <f>SUM($J$25:J378)</f>
        <v>2</v>
      </c>
    </row>
    <row r="379" spans="1:11" ht="14.5" x14ac:dyDescent="0.35">
      <c r="A379" s="29" t="str">
        <f>IF(OR(C379&gt;Report!$H$4,C379&lt;Report!$G$4),"",IF(OR(J379*K379=1,K379-J379=1),'!'!$GJ$14,""))</f>
        <v/>
      </c>
      <c r="B379" s="366">
        <f>IF(A379="",0,COUNTIF($A$25:$A379,'!'!$GJ$14))</f>
        <v>0</v>
      </c>
      <c r="C379" s="392"/>
      <c r="D379" s="393"/>
      <c r="E379" s="394"/>
      <c r="F379" s="394"/>
      <c r="G379" s="394"/>
      <c r="H379" s="394"/>
      <c r="I379" s="370"/>
      <c r="J379" s="391">
        <f>IF(OR(Report!$G$4=C379,Report!$H$4=C379),1,0)</f>
        <v>0</v>
      </c>
      <c r="K379" s="366">
        <f>SUM($J$25:J379)</f>
        <v>2</v>
      </c>
    </row>
    <row r="380" spans="1:11" ht="14.5" x14ac:dyDescent="0.35">
      <c r="A380" s="29" t="str">
        <f>IF(OR(C380&gt;Report!$H$4,C380&lt;Report!$G$4),"",IF(OR(J380*K380=1,K380-J380=1),'!'!$GJ$14,""))</f>
        <v/>
      </c>
      <c r="B380" s="366">
        <f>IF(A380="",0,COUNTIF($A$25:$A380,'!'!$GJ$14))</f>
        <v>0</v>
      </c>
      <c r="C380" s="392"/>
      <c r="D380" s="393"/>
      <c r="E380" s="394"/>
      <c r="F380" s="394"/>
      <c r="G380" s="394"/>
      <c r="H380" s="394"/>
      <c r="I380" s="370"/>
      <c r="J380" s="391">
        <f>IF(OR(Report!$G$4=C380,Report!$H$4=C380),1,0)</f>
        <v>0</v>
      </c>
      <c r="K380" s="366">
        <f>SUM($J$25:J380)</f>
        <v>2</v>
      </c>
    </row>
    <row r="381" spans="1:11" ht="14.5" x14ac:dyDescent="0.35">
      <c r="A381" s="29" t="str">
        <f>IF(OR(C381&gt;Report!$H$4,C381&lt;Report!$G$4),"",IF(OR(J381*K381=1,K381-J381=1),'!'!$GJ$14,""))</f>
        <v/>
      </c>
      <c r="B381" s="366">
        <f>IF(A381="",0,COUNTIF($A$25:$A381,'!'!$GJ$14))</f>
        <v>0</v>
      </c>
      <c r="C381" s="392"/>
      <c r="D381" s="393"/>
      <c r="E381" s="394"/>
      <c r="F381" s="394"/>
      <c r="G381" s="394"/>
      <c r="H381" s="394"/>
      <c r="I381" s="370"/>
      <c r="J381" s="391">
        <f>IF(OR(Report!$G$4=C381,Report!$H$4=C381),1,0)</f>
        <v>0</v>
      </c>
      <c r="K381" s="366">
        <f>SUM($J$25:J381)</f>
        <v>2</v>
      </c>
    </row>
    <row r="382" spans="1:11" ht="14.5" x14ac:dyDescent="0.35">
      <c r="A382" s="29" t="str">
        <f>IF(OR(C382&gt;Report!$H$4,C382&lt;Report!$G$4),"",IF(OR(J382*K382=1,K382-J382=1),'!'!$GJ$14,""))</f>
        <v/>
      </c>
      <c r="B382" s="366">
        <f>IF(A382="",0,COUNTIF($A$25:$A382,'!'!$GJ$14))</f>
        <v>0</v>
      </c>
      <c r="C382" s="392"/>
      <c r="D382" s="393"/>
      <c r="E382" s="394"/>
      <c r="F382" s="394"/>
      <c r="G382" s="394"/>
      <c r="H382" s="394"/>
      <c r="I382" s="370"/>
      <c r="J382" s="391">
        <f>IF(OR(Report!$G$4=C382,Report!$H$4=C382),1,0)</f>
        <v>0</v>
      </c>
      <c r="K382" s="366">
        <f>SUM($J$25:J382)</f>
        <v>2</v>
      </c>
    </row>
    <row r="383" spans="1:11" ht="14.5" x14ac:dyDescent="0.35">
      <c r="A383" s="29" t="str">
        <f>IF(OR(C383&gt;Report!$H$4,C383&lt;Report!$G$4),"",IF(OR(J383*K383=1,K383-J383=1),'!'!$GJ$14,""))</f>
        <v/>
      </c>
      <c r="B383" s="366">
        <f>IF(A383="",0,COUNTIF($A$25:$A383,'!'!$GJ$14))</f>
        <v>0</v>
      </c>
      <c r="C383" s="392"/>
      <c r="D383" s="393"/>
      <c r="E383" s="394"/>
      <c r="F383" s="394"/>
      <c r="G383" s="394"/>
      <c r="H383" s="394"/>
      <c r="I383" s="370"/>
      <c r="J383" s="391">
        <f>IF(OR(Report!$G$4=C383,Report!$H$4=C383),1,0)</f>
        <v>0</v>
      </c>
      <c r="K383" s="366">
        <f>SUM($J$25:J383)</f>
        <v>2</v>
      </c>
    </row>
    <row r="384" spans="1:11" ht="14.5" x14ac:dyDescent="0.35">
      <c r="A384" s="29" t="str">
        <f>IF(OR(C384&gt;Report!$H$4,C384&lt;Report!$G$4),"",IF(OR(J384*K384=1,K384-J384=1),'!'!$GJ$14,""))</f>
        <v/>
      </c>
      <c r="B384" s="366">
        <f>IF(A384="",0,COUNTIF($A$25:$A384,'!'!$GJ$14))</f>
        <v>0</v>
      </c>
      <c r="C384" s="392"/>
      <c r="D384" s="393"/>
      <c r="E384" s="394"/>
      <c r="F384" s="394"/>
      <c r="G384" s="394"/>
      <c r="H384" s="394"/>
      <c r="I384" s="370"/>
      <c r="J384" s="391">
        <f>IF(OR(Report!$G$4=C384,Report!$H$4=C384),1,0)</f>
        <v>0</v>
      </c>
      <c r="K384" s="366">
        <f>SUM($J$25:J384)</f>
        <v>2</v>
      </c>
    </row>
    <row r="385" spans="1:11" ht="14.5" x14ac:dyDescent="0.35">
      <c r="A385" s="29" t="str">
        <f>IF(OR(C385&gt;Report!$H$4,C385&lt;Report!$G$4),"",IF(OR(J385*K385=1,K385-J385=1),'!'!$GJ$14,""))</f>
        <v/>
      </c>
      <c r="B385" s="366">
        <f>IF(A385="",0,COUNTIF($A$25:$A385,'!'!$GJ$14))</f>
        <v>0</v>
      </c>
      <c r="C385" s="392"/>
      <c r="D385" s="393"/>
      <c r="E385" s="394"/>
      <c r="F385" s="394"/>
      <c r="G385" s="394"/>
      <c r="H385" s="394"/>
      <c r="I385" s="370"/>
      <c r="J385" s="391">
        <f>IF(OR(Report!$G$4=C385,Report!$H$4=C385),1,0)</f>
        <v>0</v>
      </c>
      <c r="K385" s="366">
        <f>SUM($J$25:J385)</f>
        <v>2</v>
      </c>
    </row>
    <row r="386" spans="1:11" ht="14.5" x14ac:dyDescent="0.35">
      <c r="A386" s="29" t="str">
        <f>IF(OR(C386&gt;Report!$H$4,C386&lt;Report!$G$4),"",IF(OR(J386*K386=1,K386-J386=1),'!'!$GJ$14,""))</f>
        <v/>
      </c>
      <c r="B386" s="366">
        <f>IF(A386="",0,COUNTIF($A$25:$A386,'!'!$GJ$14))</f>
        <v>0</v>
      </c>
      <c r="C386" s="392"/>
      <c r="D386" s="393"/>
      <c r="E386" s="394"/>
      <c r="F386" s="394"/>
      <c r="G386" s="394"/>
      <c r="H386" s="394"/>
      <c r="I386" s="370"/>
      <c r="J386" s="391">
        <f>IF(OR(Report!$G$4=C386,Report!$H$4=C386),1,0)</f>
        <v>0</v>
      </c>
      <c r="K386" s="366">
        <f>SUM($J$25:J386)</f>
        <v>2</v>
      </c>
    </row>
    <row r="387" spans="1:11" ht="14.5" x14ac:dyDescent="0.35">
      <c r="A387" s="29" t="str">
        <f>IF(OR(C387&gt;Report!$H$4,C387&lt;Report!$G$4),"",IF(OR(J387*K387=1,K387-J387=1),'!'!$GJ$14,""))</f>
        <v/>
      </c>
      <c r="B387" s="366">
        <f>IF(A387="",0,COUNTIF($A$25:$A387,'!'!$GJ$14))</f>
        <v>0</v>
      </c>
      <c r="C387" s="392"/>
      <c r="D387" s="393"/>
      <c r="E387" s="394"/>
      <c r="F387" s="394"/>
      <c r="G387" s="394"/>
      <c r="H387" s="394"/>
      <c r="I387" s="370"/>
      <c r="J387" s="391">
        <f>IF(OR(Report!$G$4=C387,Report!$H$4=C387),1,0)</f>
        <v>0</v>
      </c>
      <c r="K387" s="366">
        <f>SUM($J$25:J387)</f>
        <v>2</v>
      </c>
    </row>
    <row r="388" spans="1:11" ht="14.5" x14ac:dyDescent="0.35">
      <c r="A388" s="29" t="str">
        <f>IF(OR(C388&gt;Report!$H$4,C388&lt;Report!$G$4),"",IF(OR(J388*K388=1,K388-J388=1),'!'!$GJ$14,""))</f>
        <v/>
      </c>
      <c r="B388" s="366">
        <f>IF(A388="",0,COUNTIF($A$25:$A388,'!'!$GJ$14))</f>
        <v>0</v>
      </c>
      <c r="C388" s="392"/>
      <c r="D388" s="393"/>
      <c r="E388" s="394"/>
      <c r="F388" s="394"/>
      <c r="G388" s="394"/>
      <c r="H388" s="394"/>
      <c r="I388" s="370"/>
      <c r="J388" s="391">
        <f>IF(OR(Report!$G$4=C388,Report!$H$4=C388),1,0)</f>
        <v>0</v>
      </c>
      <c r="K388" s="366">
        <f>SUM($J$25:J388)</f>
        <v>2</v>
      </c>
    </row>
    <row r="389" spans="1:11" ht="14.5" x14ac:dyDescent="0.35">
      <c r="A389" s="29" t="str">
        <f>IF(OR(C389&gt;Report!$H$4,C389&lt;Report!$G$4),"",IF(OR(J389*K389=1,K389-J389=1),'!'!$GJ$14,""))</f>
        <v/>
      </c>
      <c r="B389" s="366">
        <f>IF(A389="",0,COUNTIF($A$25:$A389,'!'!$GJ$14))</f>
        <v>0</v>
      </c>
      <c r="C389" s="392"/>
      <c r="D389" s="393"/>
      <c r="E389" s="394"/>
      <c r="F389" s="394"/>
      <c r="G389" s="394"/>
      <c r="H389" s="394"/>
      <c r="I389" s="370"/>
      <c r="J389" s="391">
        <f>IF(OR(Report!$G$4=C389,Report!$H$4=C389),1,0)</f>
        <v>0</v>
      </c>
      <c r="K389" s="366">
        <f>SUM($J$25:J389)</f>
        <v>2</v>
      </c>
    </row>
    <row r="390" spans="1:11" ht="14.5" x14ac:dyDescent="0.35">
      <c r="A390" s="29" t="str">
        <f>IF(OR(C390&gt;Report!$H$4,C390&lt;Report!$G$4),"",IF(OR(J390*K390=1,K390-J390=1),'!'!$GJ$14,""))</f>
        <v/>
      </c>
      <c r="B390" s="366">
        <f>IF(A390="",0,COUNTIF($A$25:$A390,'!'!$GJ$14))</f>
        <v>0</v>
      </c>
      <c r="C390" s="392"/>
      <c r="D390" s="393"/>
      <c r="E390" s="394"/>
      <c r="F390" s="394"/>
      <c r="G390" s="394"/>
      <c r="H390" s="394"/>
      <c r="I390" s="370"/>
      <c r="J390" s="391">
        <f>IF(OR(Report!$G$4=C390,Report!$H$4=C390),1,0)</f>
        <v>0</v>
      </c>
      <c r="K390" s="366">
        <f>SUM($J$25:J390)</f>
        <v>2</v>
      </c>
    </row>
  </sheetData>
  <sheetProtection algorithmName="SHA-512" hashValue="nV/DsW7LHb2TITHVSaARej4xQBAAH4Ufk5/3tzi7HUO5M4fg9ap2GT18iJhKneE03Ji/rJcyXkCiC5Oen0uKEA==" saltValue="4ji1uCrqMzKh+/jdFE6lNg==" spinCount="100000" sheet="1" formatCells="0" formatColumns="0" formatRows="0"/>
  <dataConsolidate/>
  <mergeCells count="6">
    <mergeCell ref="E13:H13"/>
    <mergeCell ref="F16:H19"/>
    <mergeCell ref="E16:E19"/>
    <mergeCell ref="D16:D19"/>
    <mergeCell ref="C14:H14"/>
    <mergeCell ref="C15:C21"/>
  </mergeCells>
  <dataValidations count="2">
    <dataValidation type="list" allowBlank="1" showInputMessage="1" showErrorMessage="1" sqref="D21:H21" xr:uid="{00000000-0002-0000-0500-000000000000}">
      <formula1>An_Aus</formula1>
    </dataValidation>
    <dataValidation type="decimal" operator="greaterThanOrEqual" allowBlank="1" showInputMessage="1" showErrorMessage="1" errorTitle="Nur Zahlen größer/gleich Null!" error="Da Wurzeln aus Zahlen kleiner Null nicht möglich sind und Exponenten 2. Grades das Vorzeichen auflösen, dürfen nur Zahlen größer oder gleich Null eingegeben werden._x000a__x000a_Statt Temperaturen T-Differenzen eingeben" sqref="D25:H390" xr:uid="{00000000-0002-0000-0500-000001000000}">
      <formula1>0</formula1>
    </dataValidation>
  </dataValidations>
  <pageMargins left="0.7" right="0.7" top="0.78740157499999996" bottom="0.78740157499999996"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tabColor rgb="FF92D050"/>
  </sheetPr>
  <dimension ref="A2:S59"/>
  <sheetViews>
    <sheetView showGridLines="0" zoomScale="115" zoomScaleNormal="115" workbookViewId="0">
      <selection activeCell="Q19" sqref="Q19"/>
    </sheetView>
  </sheetViews>
  <sheetFormatPr baseColWidth="10" defaultColWidth="11.453125" defaultRowHeight="14.5" x14ac:dyDescent="0.35"/>
  <cols>
    <col min="1" max="1" width="3.81640625" style="4" customWidth="1"/>
    <col min="2" max="2" width="0.54296875" style="4" customWidth="1"/>
    <col min="3" max="3" width="16.453125" style="4" customWidth="1"/>
    <col min="4" max="4" width="13" style="4" customWidth="1"/>
    <col min="5" max="5" width="0.7265625" style="4" customWidth="1"/>
    <col min="6" max="6" width="32.26953125" style="4" customWidth="1"/>
    <col min="7" max="7" width="15.453125" style="4" customWidth="1"/>
    <col min="8" max="8" width="2.1796875" style="4" customWidth="1"/>
    <col min="9" max="9" width="3.81640625" style="4" customWidth="1"/>
    <col min="10" max="10" width="14.54296875" style="4" customWidth="1"/>
    <col min="11" max="11" width="24.81640625" style="4" customWidth="1"/>
    <col min="12" max="12" width="7.7265625" style="4" customWidth="1"/>
    <col min="13" max="13" width="9" style="4" customWidth="1"/>
    <col min="14" max="14" width="12.81640625" style="4" customWidth="1"/>
    <col min="15" max="15" width="0.54296875" style="4" customWidth="1"/>
    <col min="16" max="16" width="11.453125" style="4"/>
    <col min="17" max="17" width="13.1796875" style="4" bestFit="1" customWidth="1"/>
    <col min="18" max="18" width="14.7265625" style="4" customWidth="1"/>
    <col min="19" max="16384" width="11.453125" style="4"/>
  </cols>
  <sheetData>
    <row r="2" spans="2:15" ht="23" x14ac:dyDescent="0.35">
      <c r="B2" s="2"/>
      <c r="C2" s="1"/>
      <c r="D2" s="1"/>
      <c r="E2" s="1"/>
      <c r="F2" s="305" t="str">
        <f>'Translation Table (internal)'!A72</f>
        <v>Evaluation and Report</v>
      </c>
      <c r="G2" s="3"/>
      <c r="H2" s="3"/>
      <c r="I2" s="3"/>
      <c r="J2" s="2"/>
    </row>
    <row r="3" spans="2:15" ht="15" thickBot="1" x14ac:dyDescent="0.4"/>
    <row r="4" spans="2:15" ht="12.75" customHeight="1" thickBot="1" x14ac:dyDescent="0.4">
      <c r="C4" s="232" t="str">
        <f>'Translation Table (internal)'!A73</f>
        <v>Type of Report:</v>
      </c>
      <c r="D4" s="233" t="s">
        <v>50</v>
      </c>
      <c r="F4" s="232" t="str">
        <f>'Translation Table (internal)'!A74</f>
        <v>Period from/to:</v>
      </c>
      <c r="G4" s="231">
        <v>43101</v>
      </c>
      <c r="H4" s="565">
        <v>43435</v>
      </c>
      <c r="I4" s="566"/>
      <c r="J4" s="567"/>
    </row>
    <row r="5" spans="2:15" ht="16.5" hidden="1" customHeight="1" x14ac:dyDescent="0.35"/>
    <row r="6" spans="2:15" ht="14.25" hidden="1" customHeight="1" x14ac:dyDescent="0.35"/>
    <row r="7" spans="2:15" ht="10.5" hidden="1" customHeight="1" x14ac:dyDescent="0.35"/>
    <row r="8" spans="2:15" ht="10.5" customHeight="1" x14ac:dyDescent="0.35"/>
    <row r="9" spans="2:15" ht="13.5" customHeight="1" x14ac:dyDescent="0.35">
      <c r="B9" s="53" t="s">
        <v>91</v>
      </c>
      <c r="C9" s="4" t="str">
        <f>'Translation Table (internal)'!A75</f>
        <v>↓ Printing area in DIN A4 square format</v>
      </c>
    </row>
    <row r="10" spans="2:15" ht="4.5" customHeight="1" thickBot="1" x14ac:dyDescent="0.4"/>
    <row r="11" spans="2:15" ht="17.25" customHeight="1" thickTop="1" x14ac:dyDescent="0.45">
      <c r="B11" s="38"/>
      <c r="C11" s="228" t="str">
        <f>CONCATENATE(D4," ",'Translation Table (internal)'!A91)</f>
        <v>Monitoring Report</v>
      </c>
      <c r="D11" s="224"/>
      <c r="E11" s="224"/>
      <c r="F11" s="400" t="str">
        <f>'Translation Table (internal)'!A92</f>
        <v>for the System:</v>
      </c>
      <c r="G11" s="556" t="str">
        <f>IF('Basic Settings'!B11=0,"",'Basic Settings'!B11)</f>
        <v>Compressed Air Station</v>
      </c>
      <c r="H11" s="557"/>
      <c r="I11" s="557"/>
      <c r="J11" s="557"/>
      <c r="K11" s="557"/>
      <c r="L11" s="557"/>
      <c r="M11" s="557"/>
      <c r="N11" s="557"/>
      <c r="O11" s="39"/>
    </row>
    <row r="12" spans="2:15" ht="17.25" customHeight="1" x14ac:dyDescent="0.35">
      <c r="B12" s="33"/>
      <c r="C12" s="88" t="str">
        <f>'Translation Table (internal)'!A78</f>
        <v>Comparison: Measured and modelled Load profile</v>
      </c>
      <c r="D12" s="66"/>
      <c r="E12" s="66"/>
      <c r="F12" s="66"/>
      <c r="G12" s="66"/>
      <c r="H12" s="88"/>
      <c r="I12" s="88"/>
      <c r="J12" s="66"/>
      <c r="K12" s="11"/>
      <c r="L12" s="11"/>
      <c r="M12" s="90"/>
      <c r="N12" s="91"/>
      <c r="O12" s="36"/>
    </row>
    <row r="13" spans="2:15" ht="15" hidden="1" customHeight="1" x14ac:dyDescent="0.35">
      <c r="B13" s="33"/>
      <c r="C13" s="11"/>
      <c r="D13" s="11"/>
      <c r="E13" s="11"/>
      <c r="F13" s="11"/>
      <c r="G13" s="11"/>
      <c r="H13" s="88"/>
      <c r="I13" s="88"/>
      <c r="J13" s="66"/>
      <c r="K13" s="66"/>
      <c r="L13" s="90"/>
      <c r="M13" s="90"/>
      <c r="N13" s="91"/>
      <c r="O13" s="36"/>
    </row>
    <row r="14" spans="2:15" ht="16.5" hidden="1" customHeight="1" x14ac:dyDescent="0.35">
      <c r="B14" s="33"/>
      <c r="C14" s="11"/>
      <c r="D14" s="11"/>
      <c r="E14" s="11"/>
      <c r="F14" s="11"/>
      <c r="G14" s="11"/>
      <c r="H14" s="88"/>
      <c r="I14" s="88"/>
      <c r="J14" s="66"/>
      <c r="K14" s="66"/>
      <c r="L14" s="90"/>
      <c r="M14" s="90"/>
      <c r="N14" s="91"/>
      <c r="O14" s="36"/>
    </row>
    <row r="15" spans="2:15" ht="10.5" customHeight="1" x14ac:dyDescent="0.35">
      <c r="B15" s="33"/>
      <c r="C15" s="11"/>
      <c r="D15" s="11"/>
      <c r="E15" s="11"/>
      <c r="F15" s="11"/>
      <c r="G15" s="11"/>
      <c r="H15" s="11"/>
      <c r="I15" s="11"/>
      <c r="J15" s="11"/>
      <c r="K15" s="11"/>
      <c r="L15" s="11"/>
      <c r="M15" s="11"/>
      <c r="N15" s="11"/>
      <c r="O15" s="36"/>
    </row>
    <row r="16" spans="2:15" x14ac:dyDescent="0.35">
      <c r="B16" s="33"/>
      <c r="C16" s="11"/>
      <c r="D16" s="11"/>
      <c r="E16" s="11"/>
      <c r="F16" s="11"/>
      <c r="G16" s="11"/>
      <c r="H16" s="11"/>
      <c r="I16" s="11"/>
      <c r="J16" s="11"/>
      <c r="K16" s="11"/>
      <c r="L16" s="11"/>
      <c r="M16" s="11"/>
      <c r="N16" s="11"/>
      <c r="O16" s="36"/>
    </row>
    <row r="17" spans="2:19" ht="15" customHeight="1" x14ac:dyDescent="0.35">
      <c r="B17" s="33"/>
      <c r="C17" s="11"/>
      <c r="D17" s="11"/>
      <c r="E17" s="11"/>
      <c r="F17" s="11"/>
      <c r="G17" s="11"/>
      <c r="H17" s="11"/>
      <c r="I17" s="11"/>
      <c r="J17" s="11"/>
      <c r="K17" s="11"/>
      <c r="L17" s="11"/>
      <c r="M17" s="11"/>
      <c r="N17" s="11"/>
      <c r="O17" s="36"/>
    </row>
    <row r="18" spans="2:19" x14ac:dyDescent="0.35">
      <c r="B18" s="33"/>
      <c r="C18" s="11"/>
      <c r="D18" s="11"/>
      <c r="E18" s="11"/>
      <c r="F18" s="11"/>
      <c r="G18" s="11"/>
      <c r="H18" s="11"/>
      <c r="I18" s="11"/>
      <c r="J18" s="11"/>
      <c r="K18" s="11"/>
      <c r="L18" s="11"/>
      <c r="M18" s="11"/>
      <c r="N18" s="11"/>
      <c r="O18" s="36"/>
    </row>
    <row r="19" spans="2:19" x14ac:dyDescent="0.35">
      <c r="B19" s="33"/>
      <c r="C19" s="11"/>
      <c r="D19" s="11"/>
      <c r="E19" s="11"/>
      <c r="F19" s="11"/>
      <c r="G19" s="11"/>
      <c r="H19" s="11"/>
      <c r="I19" s="11"/>
      <c r="J19" s="11"/>
      <c r="K19" s="11"/>
      <c r="L19" s="11"/>
      <c r="M19" s="11"/>
      <c r="N19" s="11"/>
      <c r="O19" s="36"/>
    </row>
    <row r="20" spans="2:19" x14ac:dyDescent="0.35">
      <c r="B20" s="33"/>
      <c r="C20" s="11"/>
      <c r="D20" s="11"/>
      <c r="E20" s="11"/>
      <c r="F20" s="11"/>
      <c r="G20" s="11"/>
      <c r="H20" s="11"/>
      <c r="I20" s="11"/>
      <c r="J20" s="11"/>
      <c r="K20" s="11"/>
      <c r="L20" s="11"/>
      <c r="M20" s="11"/>
      <c r="N20" s="11"/>
      <c r="O20" s="36"/>
    </row>
    <row r="21" spans="2:19" x14ac:dyDescent="0.35">
      <c r="B21" s="33"/>
      <c r="C21" s="11"/>
      <c r="D21" s="11"/>
      <c r="E21" s="11"/>
      <c r="F21" s="11"/>
      <c r="G21" s="11"/>
      <c r="H21" s="11"/>
      <c r="I21" s="11"/>
      <c r="J21" s="11"/>
      <c r="K21" s="11"/>
      <c r="L21" s="11"/>
      <c r="M21" s="11"/>
      <c r="N21" s="11"/>
      <c r="O21" s="36"/>
    </row>
    <row r="22" spans="2:19" ht="10.5" customHeight="1" x14ac:dyDescent="0.35">
      <c r="B22" s="33"/>
      <c r="C22" s="11"/>
      <c r="D22" s="11"/>
      <c r="E22" s="11"/>
      <c r="F22" s="11"/>
      <c r="G22" s="11"/>
      <c r="H22" s="11"/>
      <c r="I22" s="11"/>
      <c r="J22" s="11"/>
      <c r="K22" s="11"/>
      <c r="L22" s="11"/>
      <c r="M22" s="11"/>
      <c r="N22" s="11"/>
      <c r="O22" s="36"/>
      <c r="Q22" s="11"/>
      <c r="R22" s="11"/>
      <c r="S22" s="11"/>
    </row>
    <row r="23" spans="2:19" ht="10.5" customHeight="1" x14ac:dyDescent="0.35">
      <c r="B23" s="33"/>
      <c r="C23" s="11"/>
      <c r="D23" s="11"/>
      <c r="E23" s="11"/>
      <c r="F23" s="11"/>
      <c r="G23" s="11"/>
      <c r="H23" s="11"/>
      <c r="I23" s="11"/>
      <c r="J23" s="11"/>
      <c r="K23" s="11"/>
      <c r="L23" s="11"/>
      <c r="M23" s="11"/>
      <c r="N23" s="11"/>
      <c r="O23" s="36"/>
      <c r="Q23" s="11"/>
      <c r="R23" s="11"/>
      <c r="S23" s="11"/>
    </row>
    <row r="24" spans="2:19" x14ac:dyDescent="0.35">
      <c r="B24" s="33"/>
      <c r="C24" s="11"/>
      <c r="D24" s="11"/>
      <c r="E24" s="11"/>
      <c r="F24" s="11"/>
      <c r="G24" s="11"/>
      <c r="H24" s="11"/>
      <c r="I24" s="11"/>
      <c r="J24" s="11"/>
      <c r="K24" s="11"/>
      <c r="L24" s="11"/>
      <c r="M24" s="11"/>
      <c r="N24" s="11"/>
      <c r="O24" s="36"/>
    </row>
    <row r="25" spans="2:19" ht="15" customHeight="1" x14ac:dyDescent="0.35">
      <c r="B25" s="33"/>
      <c r="C25" s="11"/>
      <c r="D25" s="11"/>
      <c r="E25" s="11"/>
      <c r="F25" s="11"/>
      <c r="G25" s="11"/>
      <c r="H25" s="11"/>
      <c r="I25" s="11"/>
      <c r="J25" s="11"/>
      <c r="K25" s="11"/>
      <c r="L25" s="11"/>
      <c r="M25" s="11"/>
      <c r="N25" s="11"/>
      <c r="O25" s="36"/>
    </row>
    <row r="26" spans="2:19" x14ac:dyDescent="0.35">
      <c r="B26" s="33"/>
      <c r="C26" s="11"/>
      <c r="D26" s="11"/>
      <c r="E26" s="11"/>
      <c r="F26" s="11"/>
      <c r="G26" s="11"/>
      <c r="H26" s="11"/>
      <c r="I26" s="11"/>
      <c r="J26" s="11"/>
      <c r="K26" s="11"/>
      <c r="L26" s="11"/>
      <c r="M26" s="11"/>
      <c r="N26" s="11"/>
      <c r="O26" s="36"/>
    </row>
    <row r="27" spans="2:19" x14ac:dyDescent="0.35">
      <c r="B27" s="33"/>
      <c r="C27" s="11"/>
      <c r="D27" s="11"/>
      <c r="E27" s="11"/>
      <c r="F27" s="11"/>
      <c r="G27" s="11"/>
      <c r="H27" s="11"/>
      <c r="I27" s="11"/>
      <c r="J27" s="11"/>
      <c r="K27" s="11"/>
      <c r="L27" s="11"/>
      <c r="M27" s="11"/>
      <c r="N27" s="11"/>
      <c r="O27" s="36"/>
    </row>
    <row r="28" spans="2:19" x14ac:dyDescent="0.35">
      <c r="B28" s="33"/>
      <c r="C28" s="11"/>
      <c r="D28" s="11"/>
      <c r="E28" s="11"/>
      <c r="F28" s="11"/>
      <c r="G28" s="11"/>
      <c r="H28" s="11"/>
      <c r="I28" s="11"/>
      <c r="J28" s="11"/>
      <c r="K28" s="11"/>
      <c r="L28" s="11"/>
      <c r="M28" s="11"/>
      <c r="N28" s="11"/>
      <c r="O28" s="36"/>
    </row>
    <row r="29" spans="2:19" ht="1.5" customHeight="1" thickBot="1" x14ac:dyDescent="0.4">
      <c r="B29" s="33"/>
      <c r="C29" s="12"/>
      <c r="D29" s="12"/>
      <c r="E29" s="12"/>
      <c r="F29" s="12"/>
      <c r="G29" s="12"/>
      <c r="H29" s="12"/>
      <c r="I29" s="12"/>
      <c r="J29" s="12"/>
      <c r="K29" s="12"/>
      <c r="L29" s="12"/>
      <c r="M29" s="12"/>
      <c r="N29" s="12"/>
      <c r="O29" s="36"/>
    </row>
    <row r="30" spans="2:19" ht="7.5" customHeight="1" thickBot="1" x14ac:dyDescent="0.4">
      <c r="B30" s="33"/>
      <c r="C30" s="11"/>
      <c r="D30" s="11"/>
      <c r="E30" s="11"/>
      <c r="F30" s="62"/>
      <c r="G30" s="102"/>
      <c r="H30" s="11"/>
      <c r="I30" s="11"/>
      <c r="J30" s="11"/>
      <c r="K30" s="11"/>
      <c r="L30" s="11"/>
      <c r="M30" s="11"/>
      <c r="N30" s="11"/>
      <c r="O30" s="36"/>
    </row>
    <row r="31" spans="2:19" ht="12.75" customHeight="1" x14ac:dyDescent="0.35">
      <c r="B31" s="34"/>
      <c r="C31" s="543" t="str">
        <f>'Translation Table (internal)'!A79</f>
        <v>Values of Measurements and Modell in the selected Period</v>
      </c>
      <c r="D31" s="544"/>
      <c r="E31" s="11"/>
      <c r="F31" s="547" t="str">
        <f>'Translation Table (internal)'!A80</f>
        <v>Times with highest Difference</v>
      </c>
      <c r="G31" s="548"/>
      <c r="H31" s="548"/>
      <c r="I31" s="548"/>
      <c r="J31" s="548"/>
      <c r="K31" s="548"/>
      <c r="L31" s="548"/>
      <c r="M31" s="548"/>
      <c r="N31" s="513"/>
      <c r="O31" s="36"/>
    </row>
    <row r="32" spans="2:19" ht="19.5" customHeight="1" thickBot="1" x14ac:dyDescent="0.4">
      <c r="B32" s="34"/>
      <c r="C32" s="545"/>
      <c r="D32" s="546"/>
      <c r="E32" s="11"/>
      <c r="F32" s="549"/>
      <c r="G32" s="550"/>
      <c r="H32" s="550"/>
      <c r="I32" s="550"/>
      <c r="J32" s="550"/>
      <c r="K32" s="550"/>
      <c r="L32" s="550"/>
      <c r="M32" s="550"/>
      <c r="N32" s="511"/>
      <c r="O32" s="36"/>
    </row>
    <row r="33" spans="2:17" ht="17.25" customHeight="1" x14ac:dyDescent="0.35">
      <c r="B33" s="34"/>
      <c r="C33" s="35" t="str">
        <f>CONCATENATE(Reference!D21," (",'Translation Table (internal)'!A84,")")</f>
        <v>Gas Consumtion (Modell)</v>
      </c>
      <c r="D33" s="92"/>
      <c r="E33" s="87"/>
      <c r="F33" s="93" t="str">
        <f>CONCATENATE(Reference!C17)</f>
        <v>Month</v>
      </c>
      <c r="G33" s="551">
        <f>IF(G36="","",VLOOKUP($G$36,'!!'!$T$25:$U$390,2,FALSE))</f>
        <v>43435</v>
      </c>
      <c r="H33" s="552"/>
      <c r="I33" s="555">
        <f>IF(I36="","",IF(G36=I36,"weitere",VLOOKUP($I$36,'!!'!$T$25:$U$390,2,FALSE)))</f>
        <v>43405</v>
      </c>
      <c r="J33" s="513"/>
      <c r="K33" s="551">
        <f>IF(K36="","",VLOOKUP($K$36,'!!'!$T$25:$U$390,2,FALSE))</f>
        <v>43374</v>
      </c>
      <c r="L33" s="552"/>
      <c r="M33" s="553">
        <f>IF(M36="","",IF(K36=M36,"weitere",VLOOKUP($M$36,'!!'!$T$25:$U$390,2,FALSE)))</f>
        <v>43344</v>
      </c>
      <c r="N33" s="554"/>
      <c r="O33" s="36"/>
    </row>
    <row r="34" spans="2:17" ht="14.25" customHeight="1" thickBot="1" x14ac:dyDescent="0.4">
      <c r="B34" s="34"/>
      <c r="C34" s="100">
        <f>'!!'!G20</f>
        <v>110423.32695408975</v>
      </c>
      <c r="D34" s="94" t="str">
        <f>Reference!D23</f>
        <v>MWh</v>
      </c>
      <c r="E34" s="87"/>
      <c r="F34" s="95" t="str">
        <f>CONCATENATE(C33," [",D36,"]")</f>
        <v>Gas Consumtion (Modell) [MWh]</v>
      </c>
      <c r="G34" s="558">
        <f>IFERROR(VLOOKUP(G33,'!!'!$B$25:$G$390,6,FALSE),"")</f>
        <v>11811.058089194506</v>
      </c>
      <c r="H34" s="559"/>
      <c r="I34" s="562">
        <f>IFERROR(VLOOKUP(I33,'!!'!$B$25:$G$390,6,FALSE),"")</f>
        <v>10819.544600632111</v>
      </c>
      <c r="J34" s="563"/>
      <c r="K34" s="558">
        <f>IFERROR(VLOOKUP(K33,'!!'!$B$25:$G$390,6,FALSE),"")</f>
        <v>8245.0933990939011</v>
      </c>
      <c r="L34" s="559"/>
      <c r="M34" s="560">
        <f>IFERROR(VLOOKUP(M33,'!!'!$B$25:$G$390,6,FALSE),"")</f>
        <v>10108.797761768597</v>
      </c>
      <c r="N34" s="561"/>
      <c r="O34" s="36"/>
    </row>
    <row r="35" spans="2:17" ht="16.5" customHeight="1" thickBot="1" x14ac:dyDescent="0.4">
      <c r="B35" s="34"/>
      <c r="C35" s="35" t="str">
        <f>CONCATENATE(Reference!D21," (",'Translation Table (internal)'!A85,")")</f>
        <v>Gas Consumtion (Measurement)</v>
      </c>
      <c r="D35" s="92"/>
      <c r="E35" s="87"/>
      <c r="F35" s="95" t="str">
        <f>CONCATENATE(C35," [",D36,"]")</f>
        <v>Gas Consumtion (Measurement) [MWh]</v>
      </c>
      <c r="G35" s="558">
        <f>IFERROR(VLOOKUP(G33,'!!'!$B$25:$G$390,3,FALSE),"")</f>
        <v>10168</v>
      </c>
      <c r="H35" s="559"/>
      <c r="I35" s="564">
        <f>IFERROR(VLOOKUP(I33,'!!'!$B$25:$G$390,3,FALSE),"")</f>
        <v>9217</v>
      </c>
      <c r="J35" s="511"/>
      <c r="K35" s="558">
        <f>IFERROR(VLOOKUP(K33,'!!'!$B$25:$G$390,3,FALSE),"")</f>
        <v>7664</v>
      </c>
      <c r="L35" s="559"/>
      <c r="M35" s="560">
        <f>IFERROR(VLOOKUP(M33,'!!'!$B$25:$G$390,3,FALSE),"")</f>
        <v>9660</v>
      </c>
      <c r="N35" s="561"/>
      <c r="O35" s="36"/>
    </row>
    <row r="36" spans="2:17" ht="15.75" customHeight="1" thickBot="1" x14ac:dyDescent="0.4">
      <c r="B36" s="34"/>
      <c r="C36" s="100">
        <f>'!!'!D20</f>
        <v>104479</v>
      </c>
      <c r="D36" s="94" t="str">
        <f>D34</f>
        <v>MWh</v>
      </c>
      <c r="E36" s="87"/>
      <c r="F36" s="574" t="str">
        <f>C37</f>
        <v>Savings (+) and additional Comsumption (-)</v>
      </c>
      <c r="G36" s="576">
        <f>IFERROR(VLOOKUP(LARGE('!!'!$S$25:$S$390,1),'!!'!$S$25:$U$390,2,FALSE),"")</f>
        <v>1643.0580891945065</v>
      </c>
      <c r="H36" s="577"/>
      <c r="I36" s="584">
        <f>IFERROR(VLOOKUP(LARGE('!!'!$S$25:$S$390,2),'!!'!$S$25:$U$390,2,FALSE),"")</f>
        <v>1602.5446006321108</v>
      </c>
      <c r="J36" s="513"/>
      <c r="K36" s="576">
        <f>IFERROR(VLOOKUP(LARGE('!!'!$S$25:$S$390,3),'!!'!$S$25:$U$390,2,FALSE),"")</f>
        <v>581.0933990939011</v>
      </c>
      <c r="L36" s="577"/>
      <c r="M36" s="580">
        <f>IFERROR(VLOOKUP(LARGE('!!'!$S$25:$S$390,4),'!!'!$S$25:$U$390,2,FALSE),"")</f>
        <v>448.79776176859741</v>
      </c>
      <c r="N36" s="581"/>
      <c r="O36" s="36"/>
    </row>
    <row r="37" spans="2:17" ht="18" customHeight="1" thickBot="1" x14ac:dyDescent="0.4">
      <c r="B37" s="34"/>
      <c r="C37" s="96" t="str">
        <f>IF(Report!$D$4='!'!$HE$3,'Translation Table (internal)'!A81,"")</f>
        <v>Savings (+) and additional Comsumption (-)</v>
      </c>
      <c r="D37" s="97"/>
      <c r="E37" s="11"/>
      <c r="F37" s="575"/>
      <c r="G37" s="578"/>
      <c r="H37" s="579"/>
      <c r="I37" s="585"/>
      <c r="J37" s="511"/>
      <c r="K37" s="578"/>
      <c r="L37" s="579"/>
      <c r="M37" s="582"/>
      <c r="N37" s="583"/>
      <c r="O37" s="36"/>
    </row>
    <row r="38" spans="2:17" ht="14.25" customHeight="1" x14ac:dyDescent="0.35">
      <c r="B38" s="34"/>
      <c r="C38" s="101">
        <f>IF(Report!$D$4='!'!$HE$3,C34-C36,"")</f>
        <v>5944.3269540897454</v>
      </c>
      <c r="D38" s="87" t="str">
        <f>IF(Report!$D$4='!'!$HE$3,D36,"")</f>
        <v>MWh</v>
      </c>
      <c r="E38" s="11"/>
      <c r="F38" s="11"/>
      <c r="G38" s="11"/>
      <c r="H38" s="11"/>
      <c r="I38" s="11"/>
      <c r="J38" s="11"/>
      <c r="K38" s="11"/>
      <c r="L38" s="11"/>
      <c r="M38" s="11"/>
      <c r="N38" s="11"/>
      <c r="O38" s="36"/>
    </row>
    <row r="39" spans="2:17" ht="23.25" customHeight="1" thickBot="1" x14ac:dyDescent="0.4">
      <c r="B39" s="34"/>
      <c r="C39" s="121" t="str">
        <f>IF(Report!$D$4='!'!$HE$3,'Translation Table (internal)'!A82,"Prüfung Variable")</f>
        <v>Notices:</v>
      </c>
      <c r="D39" s="122"/>
      <c r="E39" s="122"/>
      <c r="F39" s="306" t="str">
        <f>IF(Report!$D$4='!'!$HE$3," ",Baseline!G53)</f>
        <v xml:space="preserve"> </v>
      </c>
      <c r="G39" s="306" t="str">
        <f>IF(Report!$D$4='!'!$HE$3," ",Baseline!I53)</f>
        <v xml:space="preserve"> </v>
      </c>
      <c r="H39" s="122"/>
      <c r="I39" s="572" t="str">
        <f>IF(Report!$D$4='!'!$HE$3," ",'Translation Table (internal)'!A87)</f>
        <v xml:space="preserve"> </v>
      </c>
      <c r="J39" s="573"/>
      <c r="K39" s="121" t="str">
        <f>IF(Report!$D$4='!'!$HE$3,'Translation Table (internal)'!A83,'Translation Table (internal)'!A90)</f>
        <v>Change of Energy Efficiency</v>
      </c>
      <c r="L39" s="98"/>
      <c r="M39" s="98"/>
      <c r="N39" s="24"/>
      <c r="O39" s="36"/>
    </row>
    <row r="40" spans="2:17" ht="15" customHeight="1" x14ac:dyDescent="0.35">
      <c r="B40" s="33"/>
      <c r="C40" s="116" t="str">
        <f>IF(Report!$D$4='!'!$HE$3,"",Baseline!D59)</f>
        <v/>
      </c>
      <c r="D40" s="117"/>
      <c r="E40" s="117"/>
      <c r="F40" s="117" t="str">
        <f>IF(OR(Report!$D$4='!'!$HE$3,G40=""),"",Baseline!G59)</f>
        <v/>
      </c>
      <c r="G40" s="118" t="str">
        <f>IF(Report!$D$4='!'!$HE$3,"",Baseline!I59)</f>
        <v/>
      </c>
      <c r="H40" s="117"/>
      <c r="I40" s="117" t="str">
        <f>IF(OR(Report!$D$4='!'!$HE$3,G40=""),"","+/- ")</f>
        <v/>
      </c>
      <c r="J40" s="177" t="str">
        <f>IF(OR(Report!$D$4='!'!$HE$3,G40=""),"",Baseline!H59)</f>
        <v/>
      </c>
      <c r="K40" s="174" t="str">
        <f>IF(Report!$D$4='!'!$HE$3,"",Baseline!D45)</f>
        <v/>
      </c>
      <c r="L40" s="165" t="str">
        <f>IF(Report!$D$4='!'!$HE$3,"",Baseline!E45)</f>
        <v/>
      </c>
      <c r="M40" s="570"/>
      <c r="N40" s="571"/>
      <c r="O40" s="36"/>
    </row>
    <row r="41" spans="2:17" ht="15" customHeight="1" x14ac:dyDescent="0.35">
      <c r="B41" s="34"/>
      <c r="C41" s="568"/>
      <c r="D41" s="569"/>
      <c r="E41" s="159"/>
      <c r="F41" s="119"/>
      <c r="G41" s="120"/>
      <c r="H41" s="119"/>
      <c r="I41" s="119"/>
      <c r="J41" s="178"/>
      <c r="K41" s="163" t="str">
        <f>IF(Report!$D$4='!'!$HE$3,CONCATENATE(Reference!E21," / ",C33),"")</f>
        <v>Production / Gas Consumtion (Modell)</v>
      </c>
      <c r="L41" s="11"/>
      <c r="M41" s="106">
        <f>IF(Report!$D$4='!'!$HE$3,'!!'!$I$20/'!!'!$G$20,"")</f>
        <v>1.7876657536506954E-2</v>
      </c>
      <c r="N41" s="107" t="str">
        <f>IF(Report!$D$4='!'!$HE$3,CONCATENATE("*",Reference!$E$23,"/",Reference!D$23),"")</f>
        <v>*Tons/MWh</v>
      </c>
      <c r="O41" s="36"/>
    </row>
    <row r="42" spans="2:17" ht="15" customHeight="1" x14ac:dyDescent="0.35">
      <c r="B42" s="33"/>
      <c r="C42" s="568" t="str">
        <f>IF(OR(Report!$D$4='!'!$HE$3,G42=""),"",CONCATENATE('!'!HJ4," = ",'!'!GW3))</f>
        <v/>
      </c>
      <c r="D42" s="569"/>
      <c r="E42" s="119"/>
      <c r="F42" s="119" t="str">
        <f>IF(OR(Report!$D$4='!'!$HE$3,G42=""),"",Baseline!G55)</f>
        <v/>
      </c>
      <c r="G42" s="120" t="str">
        <f>IF(Report!$D$4='!'!$HE$3,"",Baseline!I55)</f>
        <v/>
      </c>
      <c r="H42" s="119"/>
      <c r="I42" s="119" t="str">
        <f>IF(OR(Report!$D$4='!'!$HE$3,G42=""),"","+/- ")</f>
        <v/>
      </c>
      <c r="J42" s="178" t="str">
        <f>IF(OR(Report!$D$4='!'!$HE$3,G42=""),"",Baseline!H55)</f>
        <v/>
      </c>
      <c r="K42" s="175" t="str">
        <f>IF(Report!$D$4='!'!$HE$3,"",'Translation Table (internal)'!A42)</f>
        <v/>
      </c>
      <c r="L42" s="172" t="str">
        <f>IF(Report!$D$4='!'!$HE$3,"",Baseline!E48)</f>
        <v/>
      </c>
      <c r="M42" s="108"/>
      <c r="N42" s="109"/>
      <c r="O42" s="36"/>
    </row>
    <row r="43" spans="2:17" ht="15" customHeight="1" x14ac:dyDescent="0.35">
      <c r="B43" s="33"/>
      <c r="C43" s="568"/>
      <c r="D43" s="569"/>
      <c r="E43" s="119"/>
      <c r="F43" s="119"/>
      <c r="G43" s="120"/>
      <c r="H43" s="119"/>
      <c r="I43" s="119"/>
      <c r="J43" s="178"/>
      <c r="K43" s="163" t="str">
        <f>IF(Report!$D$4='!'!$HE$3,CONCATENATE(Reference!E21," / ",C35),"")</f>
        <v>Production / Gas Consumtion (Measurement)</v>
      </c>
      <c r="L43" s="11"/>
      <c r="M43" s="106">
        <f>IF(Report!$D$4='!'!$HE$3,'!!'!$I$20/'!!'!$D$20,"")</f>
        <v>1.8893748983049224E-2</v>
      </c>
      <c r="N43" s="107" t="str">
        <f>IF(Report!$D$4='!'!$HE$3,CONCATENATE("*",Reference!$E$23,"/",Reference!D$23),"")</f>
        <v>*Tons/MWh</v>
      </c>
      <c r="O43" s="36"/>
    </row>
    <row r="44" spans="2:17" ht="15" customHeight="1" x14ac:dyDescent="0.35">
      <c r="B44" s="33"/>
      <c r="C44" s="568" t="str">
        <f>IF(OR(Report!$D$4='!'!$HE$3,G44=""),"",CONCATENATE('!'!HJ6," = ",'!'!GW5))</f>
        <v/>
      </c>
      <c r="D44" s="569"/>
      <c r="E44" s="119"/>
      <c r="F44" s="119" t="str">
        <f>IF(OR(Report!$D$4='!'!$HE$3,G44=""),"",Baseline!G56)</f>
        <v/>
      </c>
      <c r="G44" s="120" t="str">
        <f>IF(Report!$D$4='!'!$HE$3,"",Baseline!I56)</f>
        <v/>
      </c>
      <c r="H44" s="119"/>
      <c r="I44" s="119" t="str">
        <f>IF(OR(Report!$D$4='!'!$HE$3,G44=""),"","+/- ")</f>
        <v/>
      </c>
      <c r="J44" s="178" t="str">
        <f>IF(OR(Report!$D$4='!'!$HE$3,G44=""),"",Baseline!H56)</f>
        <v/>
      </c>
      <c r="K44" s="162" t="str">
        <f>IF(Report!$D$4='!'!$HE$3,"",Baseline!D47)</f>
        <v/>
      </c>
      <c r="L44" s="172" t="str">
        <f>IF(Report!$D$4='!'!$HE$3,"",Baseline!E47)</f>
        <v/>
      </c>
      <c r="M44" s="110"/>
      <c r="N44" s="111"/>
      <c r="O44" s="36"/>
    </row>
    <row r="45" spans="2:17" ht="15" customHeight="1" x14ac:dyDescent="0.35">
      <c r="B45" s="33"/>
      <c r="C45" s="568"/>
      <c r="D45" s="569"/>
      <c r="E45" s="223"/>
      <c r="F45" s="119"/>
      <c r="G45" s="120"/>
      <c r="H45" s="160"/>
      <c r="I45" s="160"/>
      <c r="J45" s="178"/>
      <c r="K45" s="164" t="str">
        <f>IF(Report!$D$4='!'!$HE$3,'Translation Table (internal)'!A83,"")</f>
        <v>Change of Energy Efficiency</v>
      </c>
      <c r="L45" s="113">
        <f>IF(Report!$D$4='!'!$HE$3,M43/M41-1,"")</f>
        <v>5.6894944956304538E-2</v>
      </c>
      <c r="M45" s="114">
        <f>IF(Report!$D$4='!'!$HE$3,M43-M41,"")</f>
        <v>1.0170914465422697E-3</v>
      </c>
      <c r="N45" s="112" t="str">
        <f>IF(Report!$D$4='!'!$HE$3,CONCATENATE("*",Reference!$E$23,"/",Reference!D$23),"")</f>
        <v>*Tons/MWh</v>
      </c>
      <c r="O45" s="36"/>
      <c r="Q45" s="105"/>
    </row>
    <row r="46" spans="2:17" ht="15" customHeight="1" x14ac:dyDescent="0.35">
      <c r="B46" s="33"/>
      <c r="C46" s="568" t="str">
        <f>IF(OR(Report!$D$4='!'!$HE$3,G46=""),"",CONCATENATE('!'!HJ8," = ",'!'!GW7))</f>
        <v/>
      </c>
      <c r="D46" s="569"/>
      <c r="E46" s="161"/>
      <c r="F46" s="119" t="str">
        <f>IF(OR(Report!$D$4='!'!$HE$3,G46=""),"",Baseline!G57)</f>
        <v/>
      </c>
      <c r="G46" s="120" t="str">
        <f>IF(Report!$D$4='!'!$HE$3,"",Baseline!I57)</f>
        <v/>
      </c>
      <c r="H46" s="119"/>
      <c r="I46" s="119" t="str">
        <f>IF(OR(Report!$D$4='!'!$HE$3,G46=""),"","+/- ")</f>
        <v/>
      </c>
      <c r="J46" s="178" t="str">
        <f>IF(OR(Report!$D$4='!'!$HE$3,G46=""),"",Baseline!H57)</f>
        <v/>
      </c>
      <c r="K46" s="176" t="str">
        <f>IF(Report!$D$4='!'!$HE$3,"",'Translation Table (internal)'!A40)</f>
        <v/>
      </c>
      <c r="L46" s="173" t="str">
        <f>IF(Report!$D$4='!'!$HE$3,"",Baseline!E46)</f>
        <v/>
      </c>
      <c r="M46" s="99"/>
      <c r="N46" s="37"/>
      <c r="O46" s="36"/>
    </row>
    <row r="47" spans="2:17" ht="15" customHeight="1" x14ac:dyDescent="0.35">
      <c r="B47" s="33"/>
      <c r="C47" s="568"/>
      <c r="D47" s="569"/>
      <c r="E47" s="161"/>
      <c r="F47" s="119"/>
      <c r="G47" s="120"/>
      <c r="H47" s="119"/>
      <c r="I47" s="119"/>
      <c r="J47" s="178"/>
      <c r="K47" s="163" t="str">
        <f>IF(K45="","",'Translation Table (internal)'!A93)</f>
        <v>Savings target was</v>
      </c>
      <c r="L47" s="321">
        <f>IF(K45="","",'Basic Settings'!G13)</f>
        <v>0.02</v>
      </c>
      <c r="M47" s="114">
        <f>IFERROR((L47)*M41,"")</f>
        <v>3.5753315073013908E-4</v>
      </c>
      <c r="N47" s="467" t="str">
        <f>N41</f>
        <v>*Tons/MWh</v>
      </c>
      <c r="O47" s="36"/>
    </row>
    <row r="48" spans="2:17" ht="15" customHeight="1" x14ac:dyDescent="0.35">
      <c r="B48" s="33"/>
      <c r="C48" s="568" t="str">
        <f>IF(OR(Report!$D$4='!'!$HE$3,G48=""),"",CONCATENATE('!'!HJ10," = ",'!'!GW9))</f>
        <v/>
      </c>
      <c r="D48" s="569"/>
      <c r="E48" s="161"/>
      <c r="F48" s="119" t="str">
        <f>IF(OR(Report!$D$4='!'!$HE$3,G48=""),"",Baseline!G58)</f>
        <v/>
      </c>
      <c r="G48" s="120" t="str">
        <f>IF(Report!$D$4='!'!$HE$3,"",Baseline!I58)</f>
        <v/>
      </c>
      <c r="H48" s="119"/>
      <c r="I48" s="119" t="str">
        <f>IF(OR(Report!$D$4='!'!$HE$3,G48=""),"","+/- ")</f>
        <v/>
      </c>
      <c r="J48" s="178" t="str">
        <f>IF(OR(Report!$D$4='!'!$HE$3,G48=""),"",Baseline!H58)</f>
        <v/>
      </c>
      <c r="K48" s="163"/>
      <c r="L48" s="321"/>
      <c r="M48" s="114"/>
      <c r="N48" s="103"/>
      <c r="O48" s="36"/>
    </row>
    <row r="49" spans="1:19" ht="15" customHeight="1" x14ac:dyDescent="0.35">
      <c r="B49" s="33"/>
      <c r="C49" s="222"/>
      <c r="D49" s="223"/>
      <c r="E49" s="161"/>
      <c r="F49" s="119"/>
      <c r="G49" s="120"/>
      <c r="H49" s="119"/>
      <c r="I49" s="119"/>
      <c r="J49" s="178"/>
      <c r="K49" s="323" t="str">
        <f>IF(K45="","",IF(L47&lt;L45,'Translation Table (internal)'!A94,IF(L47=L45,'Translation Table (internal)'!A95,IF(L47&gt;L45,'Translation Table (internal)'!A96,""))))</f>
        <v>Savings target was overachieved in this Period</v>
      </c>
      <c r="L49" s="324"/>
      <c r="M49" s="325"/>
      <c r="N49" s="103"/>
      <c r="O49" s="36"/>
    </row>
    <row r="50" spans="1:19" ht="15" customHeight="1" thickBot="1" x14ac:dyDescent="0.4">
      <c r="B50" s="33"/>
      <c r="C50" s="326"/>
      <c r="D50" s="12"/>
      <c r="E50" s="12"/>
      <c r="F50" s="12"/>
      <c r="G50" s="12"/>
      <c r="H50" s="12"/>
      <c r="I50" s="12"/>
      <c r="J50" s="13"/>
      <c r="K50" s="12"/>
      <c r="L50" s="12"/>
      <c r="M50" s="12"/>
      <c r="N50" s="13"/>
      <c r="O50" s="36"/>
    </row>
    <row r="51" spans="1:19" ht="16.5" customHeight="1" thickBot="1" x14ac:dyDescent="0.4">
      <c r="A51" s="36"/>
      <c r="B51" s="229"/>
      <c r="C51" s="230" t="str">
        <f>CONCATENATE($F$34," =",'!'!$HI$3,'!'!$HJ$3,'!'!$HI$4,'!'!$HJ$4,'!'!$HI$5,'!'!$HJ$5,'!'!$HI$6,'!'!$HJ$6,'!'!$HI$7,'!'!$HJ$7,'!'!$HI$8,'!'!$HJ$8,'!'!$HI$9,'!'!$HJ$9,'!'!$HI$10,'!'!$HJ$10,'!'!$HI$11)</f>
        <v>Gas Consumtion (Modell) [MWh] =+35,8804490905084*x1+5,76555845812914*x2+19,2408717507731*x3+626,183629</v>
      </c>
      <c r="D51" s="225"/>
      <c r="E51" s="225"/>
      <c r="F51" s="225"/>
      <c r="G51" s="225"/>
      <c r="H51" s="225"/>
      <c r="I51" s="225"/>
      <c r="J51" s="225"/>
      <c r="K51" s="225"/>
      <c r="L51" s="226"/>
      <c r="M51" s="225"/>
      <c r="N51" s="225"/>
      <c r="O51" s="227"/>
      <c r="P51" s="33"/>
      <c r="R51" s="115"/>
      <c r="S51" s="105"/>
    </row>
    <row r="52" spans="1:19" ht="15" thickTop="1" x14ac:dyDescent="0.35">
      <c r="B52" s="104"/>
      <c r="C52" s="104"/>
      <c r="D52" s="104"/>
      <c r="E52" s="104"/>
      <c r="F52" s="104"/>
      <c r="G52" s="104"/>
      <c r="H52" s="104"/>
      <c r="I52" s="104"/>
      <c r="J52" s="104"/>
      <c r="K52" s="104"/>
      <c r="L52" s="104"/>
      <c r="M52" s="104"/>
      <c r="N52" s="104"/>
      <c r="O52" s="104"/>
      <c r="R52" s="115"/>
    </row>
    <row r="59" spans="1:19" x14ac:dyDescent="0.35">
      <c r="O59" s="5"/>
      <c r="P59" s="5"/>
      <c r="Q59" s="5"/>
    </row>
  </sheetData>
  <sheetProtection algorithmName="SHA-512" hashValue="oYKBBtsyRMKlBXQ1ZUK9lo4GepHAAu8LAYWiA5VGm1DJN/VoAT/O/pmrrkvPeYoxpLQ03c8ohIc4tjQwuE43fA==" saltValue="sfMQY3ovRS1rqd30HMI8Bg==" spinCount="100000" sheet="1" formatCells="0" formatColumns="0" formatRows="0"/>
  <mergeCells count="31">
    <mergeCell ref="H4:J4"/>
    <mergeCell ref="C46:D46"/>
    <mergeCell ref="C47:D47"/>
    <mergeCell ref="C48:D48"/>
    <mergeCell ref="M40:N40"/>
    <mergeCell ref="C41:D41"/>
    <mergeCell ref="C42:D42"/>
    <mergeCell ref="C43:D43"/>
    <mergeCell ref="C44:D44"/>
    <mergeCell ref="C45:D45"/>
    <mergeCell ref="I39:J39"/>
    <mergeCell ref="F36:F37"/>
    <mergeCell ref="G36:H37"/>
    <mergeCell ref="K36:L37"/>
    <mergeCell ref="M36:N37"/>
    <mergeCell ref="I36:J37"/>
    <mergeCell ref="G11:N11"/>
    <mergeCell ref="G35:H35"/>
    <mergeCell ref="K35:L35"/>
    <mergeCell ref="M35:N35"/>
    <mergeCell ref="G34:H34"/>
    <mergeCell ref="K34:L34"/>
    <mergeCell ref="M34:N34"/>
    <mergeCell ref="I34:J34"/>
    <mergeCell ref="I35:J35"/>
    <mergeCell ref="C31:D32"/>
    <mergeCell ref="F31:N32"/>
    <mergeCell ref="G33:H33"/>
    <mergeCell ref="K33:L33"/>
    <mergeCell ref="M33:N33"/>
    <mergeCell ref="I33:J33"/>
  </mergeCells>
  <dataValidations count="3">
    <dataValidation type="list" allowBlank="1" showInputMessage="1" showErrorMessage="1" sqref="P12:P14" xr:uid="{00000000-0002-0000-0600-000000000000}">
      <formula1>Einflussgrößen</formula1>
    </dataValidation>
    <dataValidation type="list" allowBlank="1" showInputMessage="1" showErrorMessage="1" sqref="D4" xr:uid="{00000000-0002-0000-0600-000001000000}">
      <formula1>M_B</formula1>
    </dataValidation>
    <dataValidation type="list" allowBlank="1" showInputMessage="1" showErrorMessage="1" sqref="G4:H4" xr:uid="{00000000-0002-0000-0600-000002000000}">
      <formula1>Zeiten.V</formula1>
    </dataValidation>
  </dataValidations>
  <pageMargins left="7.874015748031496E-2" right="7.874015748031496E-2" top="0.47244094488188981" bottom="0.47244094488188981"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FFC000"/>
  </sheetPr>
  <dimension ref="A2:H34"/>
  <sheetViews>
    <sheetView workbookViewId="0">
      <selection activeCell="K12" sqref="K12"/>
    </sheetView>
  </sheetViews>
  <sheetFormatPr baseColWidth="10" defaultColWidth="11.453125" defaultRowHeight="14.5" x14ac:dyDescent="0.35"/>
  <cols>
    <col min="1" max="1" width="11.453125" style="68" customWidth="1"/>
    <col min="2" max="2" width="13.453125" style="68" customWidth="1"/>
    <col min="3" max="16384" width="11.453125" style="68"/>
  </cols>
  <sheetData>
    <row r="2" spans="1:8" ht="18.5" x14ac:dyDescent="0.45">
      <c r="D2" s="69"/>
      <c r="F2" s="69"/>
    </row>
    <row r="6" spans="1:8" hidden="1" x14ac:dyDescent="0.35"/>
    <row r="7" spans="1:8" x14ac:dyDescent="0.35">
      <c r="A7" s="70" t="str">
        <f>'Translation Table (internal)'!A102</f>
        <v>Author</v>
      </c>
      <c r="B7" s="68" t="s">
        <v>101</v>
      </c>
    </row>
    <row r="8" spans="1:8" x14ac:dyDescent="0.35">
      <c r="A8" s="70" t="str">
        <f>'Translation Table (internal)'!A103</f>
        <v>E-Mail</v>
      </c>
      <c r="B8" s="71" t="s">
        <v>321</v>
      </c>
    </row>
    <row r="10" spans="1:8" ht="15.5" x14ac:dyDescent="0.35">
      <c r="A10" s="397" t="str">
        <f>'Translation Table (internal)'!A98</f>
        <v>Disclaimer</v>
      </c>
    </row>
    <row r="11" spans="1:8" ht="12.75" customHeight="1" x14ac:dyDescent="0.35">
      <c r="A11" s="586" t="str">
        <f>'Translation Table (internal)'!A99</f>
        <v>The use of this software is intended exclusively for training purposes within the framework of the INDUCE project.
No liability is assumed for the results/calculations, unless ÖKOTEC has acted with intent or gross negligence in providing the results.</v>
      </c>
      <c r="B11" s="587"/>
      <c r="C11" s="587"/>
      <c r="D11" s="587"/>
      <c r="E11" s="587"/>
      <c r="F11" s="587"/>
      <c r="G11" s="587"/>
      <c r="H11" s="587"/>
    </row>
    <row r="12" spans="1:8" ht="12.75" customHeight="1" x14ac:dyDescent="0.35">
      <c r="A12" s="587"/>
      <c r="B12" s="587"/>
      <c r="C12" s="587"/>
      <c r="D12" s="587"/>
      <c r="E12" s="587"/>
      <c r="F12" s="587"/>
      <c r="G12" s="587"/>
      <c r="H12" s="587"/>
    </row>
    <row r="13" spans="1:8" ht="12.75" customHeight="1" x14ac:dyDescent="0.35">
      <c r="A13" s="587"/>
      <c r="B13" s="587"/>
      <c r="C13" s="587"/>
      <c r="D13" s="587"/>
      <c r="E13" s="587"/>
      <c r="F13" s="587"/>
      <c r="G13" s="587"/>
      <c r="H13" s="587"/>
    </row>
    <row r="14" spans="1:8" ht="12.75" customHeight="1" x14ac:dyDescent="0.35">
      <c r="A14" s="587"/>
      <c r="B14" s="587"/>
      <c r="C14" s="587"/>
      <c r="D14" s="587"/>
      <c r="E14" s="587"/>
      <c r="F14" s="587"/>
      <c r="G14" s="587"/>
      <c r="H14" s="587"/>
    </row>
    <row r="15" spans="1:8" ht="12.75" customHeight="1" x14ac:dyDescent="0.35">
      <c r="A15" s="587"/>
      <c r="B15" s="587"/>
      <c r="C15" s="587"/>
      <c r="D15" s="587"/>
      <c r="E15" s="587"/>
      <c r="F15" s="587"/>
      <c r="G15" s="587"/>
      <c r="H15" s="587"/>
    </row>
    <row r="16" spans="1:8" ht="12.75" customHeight="1" x14ac:dyDescent="0.35">
      <c r="A16" s="587"/>
      <c r="B16" s="587"/>
      <c r="C16" s="587"/>
      <c r="D16" s="587"/>
      <c r="E16" s="587"/>
      <c r="F16" s="587"/>
      <c r="G16" s="587"/>
      <c r="H16" s="587"/>
    </row>
    <row r="17" spans="1:8" ht="12.75" customHeight="1" x14ac:dyDescent="0.35">
      <c r="A17" s="587"/>
      <c r="B17" s="587"/>
      <c r="C17" s="587"/>
      <c r="D17" s="587"/>
      <c r="E17" s="587"/>
      <c r="F17" s="587"/>
      <c r="G17" s="587"/>
      <c r="H17" s="587"/>
    </row>
    <row r="18" spans="1:8" ht="12.75" customHeight="1" x14ac:dyDescent="0.35">
      <c r="A18" s="587"/>
      <c r="B18" s="587"/>
      <c r="C18" s="587"/>
      <c r="D18" s="587"/>
      <c r="E18" s="587"/>
      <c r="F18" s="587"/>
      <c r="G18" s="587"/>
      <c r="H18" s="587"/>
    </row>
    <row r="19" spans="1:8" ht="12.75" customHeight="1" x14ac:dyDescent="0.35">
      <c r="A19" s="587"/>
      <c r="B19" s="587"/>
      <c r="C19" s="587"/>
      <c r="D19" s="587"/>
      <c r="E19" s="587"/>
      <c r="F19" s="587"/>
      <c r="G19" s="587"/>
      <c r="H19" s="587"/>
    </row>
    <row r="20" spans="1:8" ht="12.75" customHeight="1" x14ac:dyDescent="0.35">
      <c r="A20" s="587"/>
      <c r="B20" s="587"/>
      <c r="C20" s="587"/>
      <c r="D20" s="587"/>
      <c r="E20" s="587"/>
      <c r="F20" s="587"/>
      <c r="G20" s="587"/>
      <c r="H20" s="587"/>
    </row>
    <row r="21" spans="1:8" ht="12.75" customHeight="1" x14ac:dyDescent="0.35">
      <c r="A21" s="587"/>
      <c r="B21" s="587"/>
      <c r="C21" s="587"/>
      <c r="D21" s="587"/>
      <c r="E21" s="587"/>
      <c r="F21" s="587"/>
      <c r="G21" s="587"/>
      <c r="H21" s="587"/>
    </row>
    <row r="23" spans="1:8" ht="15.5" x14ac:dyDescent="0.35">
      <c r="A23" s="397" t="str">
        <f>'Translation Table (internal)'!A100</f>
        <v>Copyright and rights of use</v>
      </c>
    </row>
    <row r="24" spans="1:8" ht="15" customHeight="1" x14ac:dyDescent="0.35">
      <c r="A24" s="586" t="str">
        <f>'Translation Table (internal)'!A101</f>
        <v>All copyrights for this software are held by ÖKOTEC Energiemanagement GmbH, Torgauer Straße 12-15, 10829 Berlin, Germany, which developed this software as part of the INDUCE project. The participants of trainings in which this tool is used are allowed to continue using this software within their own company. The use for consulting of third parties is not permitted. Changes to the tool may not be made without the express prior consent of ÖKOTEC Energiemanagement GmbH. The transfer of this software to third parties outside the INDUCE project is not permitted without the express prior consent of ÖKOTEC Energiemanagement GmbH.</v>
      </c>
      <c r="B24" s="587"/>
      <c r="C24" s="587"/>
      <c r="D24" s="587"/>
      <c r="E24" s="587"/>
      <c r="F24" s="587"/>
      <c r="G24" s="587"/>
      <c r="H24" s="587"/>
    </row>
    <row r="25" spans="1:8" x14ac:dyDescent="0.35">
      <c r="A25" s="587"/>
      <c r="B25" s="587"/>
      <c r="C25" s="587"/>
      <c r="D25" s="587"/>
      <c r="E25" s="587"/>
      <c r="F25" s="587"/>
      <c r="G25" s="587"/>
      <c r="H25" s="587"/>
    </row>
    <row r="26" spans="1:8" x14ac:dyDescent="0.35">
      <c r="A26" s="587"/>
      <c r="B26" s="587"/>
      <c r="C26" s="587"/>
      <c r="D26" s="587"/>
      <c r="E26" s="587"/>
      <c r="F26" s="587"/>
      <c r="G26" s="587"/>
      <c r="H26" s="587"/>
    </row>
    <row r="27" spans="1:8" x14ac:dyDescent="0.35">
      <c r="A27" s="587"/>
      <c r="B27" s="587"/>
      <c r="C27" s="587"/>
      <c r="D27" s="587"/>
      <c r="E27" s="587"/>
      <c r="F27" s="587"/>
      <c r="G27" s="587"/>
      <c r="H27" s="587"/>
    </row>
    <row r="28" spans="1:8" x14ac:dyDescent="0.35">
      <c r="A28" s="587"/>
      <c r="B28" s="587"/>
      <c r="C28" s="587"/>
      <c r="D28" s="587"/>
      <c r="E28" s="587"/>
      <c r="F28" s="587"/>
      <c r="G28" s="587"/>
      <c r="H28" s="587"/>
    </row>
    <row r="29" spans="1:8" x14ac:dyDescent="0.35">
      <c r="A29" s="587"/>
      <c r="B29" s="587"/>
      <c r="C29" s="587"/>
      <c r="D29" s="587"/>
      <c r="E29" s="587"/>
      <c r="F29" s="587"/>
      <c r="G29" s="587"/>
      <c r="H29" s="587"/>
    </row>
    <row r="30" spans="1:8" x14ac:dyDescent="0.35">
      <c r="A30" s="587"/>
      <c r="B30" s="587"/>
      <c r="C30" s="587"/>
      <c r="D30" s="587"/>
      <c r="E30" s="587"/>
      <c r="F30" s="587"/>
      <c r="G30" s="587"/>
      <c r="H30" s="587"/>
    </row>
    <row r="31" spans="1:8" x14ac:dyDescent="0.35">
      <c r="A31" s="587"/>
      <c r="B31" s="587"/>
      <c r="C31" s="587"/>
      <c r="D31" s="587"/>
      <c r="E31" s="587"/>
      <c r="F31" s="587"/>
      <c r="G31" s="587"/>
      <c r="H31" s="587"/>
    </row>
    <row r="32" spans="1:8" x14ac:dyDescent="0.35">
      <c r="A32" s="587"/>
      <c r="B32" s="587"/>
      <c r="C32" s="587"/>
      <c r="D32" s="587"/>
      <c r="E32" s="587"/>
      <c r="F32" s="587"/>
      <c r="G32" s="587"/>
      <c r="H32" s="587"/>
    </row>
    <row r="33" spans="1:8" x14ac:dyDescent="0.35">
      <c r="A33" s="587"/>
      <c r="B33" s="587"/>
      <c r="C33" s="587"/>
      <c r="D33" s="587"/>
      <c r="E33" s="587"/>
      <c r="F33" s="587"/>
      <c r="G33" s="587"/>
      <c r="H33" s="587"/>
    </row>
    <row r="34" spans="1:8" x14ac:dyDescent="0.35">
      <c r="A34" s="587"/>
      <c r="B34" s="587"/>
      <c r="C34" s="587"/>
      <c r="D34" s="587"/>
      <c r="E34" s="587"/>
      <c r="F34" s="587"/>
      <c r="G34" s="587"/>
      <c r="H34" s="587"/>
    </row>
  </sheetData>
  <sheetProtection algorithmName="SHA-512" hashValue="potkqJJdcxSKKl0hLQLtTKN7CN1EdR9CAPY67teVblabwlcvwT6qBWdqHgd0ZaI7LeTt6uu8gKzuzwCvBkfZPg==" saltValue="qwJ2UyrG5Ma1VYgIdZ4tAA==" spinCount="100000" sheet="1" objects="1" scenarios="1"/>
  <mergeCells count="2">
    <mergeCell ref="A11:H21"/>
    <mergeCell ref="A24:H34"/>
  </mergeCells>
  <hyperlinks>
    <hyperlink ref="B8" r:id="rId1" xr:uid="{00000000-0004-0000-0700-000000000000}"/>
  </hyperlinks>
  <pageMargins left="0.7" right="0.7" top="0.78740157499999996" bottom="0.78740157499999996"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dimension ref="A1:C16"/>
  <sheetViews>
    <sheetView workbookViewId="0">
      <selection activeCell="N13" sqref="N13"/>
    </sheetView>
  </sheetViews>
  <sheetFormatPr baseColWidth="10" defaultColWidth="11.453125" defaultRowHeight="14.5" x14ac:dyDescent="0.35"/>
  <cols>
    <col min="2" max="3" width="14.26953125" customWidth="1"/>
  </cols>
  <sheetData>
    <row r="1" spans="1:3" x14ac:dyDescent="0.35">
      <c r="A1" s="415" t="s">
        <v>523</v>
      </c>
    </row>
    <row r="3" spans="1:3" ht="35.25" customHeight="1" x14ac:dyDescent="0.35">
      <c r="A3" s="404">
        <v>2015</v>
      </c>
      <c r="B3" s="588" t="s">
        <v>338</v>
      </c>
      <c r="C3" s="588" t="s">
        <v>335</v>
      </c>
    </row>
    <row r="4" spans="1:3" x14ac:dyDescent="0.35">
      <c r="A4" s="404" t="s">
        <v>104</v>
      </c>
      <c r="B4" s="589"/>
      <c r="C4" s="589"/>
    </row>
    <row r="5" spans="1:3" x14ac:dyDescent="0.35">
      <c r="A5" s="423">
        <v>42005</v>
      </c>
      <c r="B5" s="405">
        <v>7484.3</v>
      </c>
      <c r="C5" s="405">
        <v>94</v>
      </c>
    </row>
    <row r="6" spans="1:3" x14ac:dyDescent="0.35">
      <c r="A6" s="423">
        <v>42036</v>
      </c>
      <c r="B6" s="405">
        <v>7249.3</v>
      </c>
      <c r="C6" s="405">
        <v>99</v>
      </c>
    </row>
    <row r="7" spans="1:3" x14ac:dyDescent="0.35">
      <c r="A7" s="423">
        <v>42064</v>
      </c>
      <c r="B7" s="405">
        <v>7163.5</v>
      </c>
      <c r="C7" s="405">
        <v>73</v>
      </c>
    </row>
    <row r="8" spans="1:3" x14ac:dyDescent="0.35">
      <c r="A8" s="423">
        <v>42095</v>
      </c>
      <c r="B8" s="405">
        <v>5794.5</v>
      </c>
      <c r="C8" s="405">
        <v>93</v>
      </c>
    </row>
    <row r="9" spans="1:3" x14ac:dyDescent="0.35">
      <c r="A9" s="423">
        <v>42125</v>
      </c>
      <c r="B9" s="405">
        <v>6373.4</v>
      </c>
      <c r="C9" s="405">
        <v>108</v>
      </c>
    </row>
    <row r="10" spans="1:3" x14ac:dyDescent="0.35">
      <c r="A10" s="423">
        <v>42156</v>
      </c>
      <c r="B10" s="405">
        <v>7445.2</v>
      </c>
      <c r="C10" s="405">
        <v>132</v>
      </c>
    </row>
    <row r="11" spans="1:3" x14ac:dyDescent="0.35">
      <c r="A11" s="423">
        <v>42186</v>
      </c>
      <c r="B11" s="405">
        <v>7123.3</v>
      </c>
      <c r="C11" s="405">
        <v>165</v>
      </c>
    </row>
    <row r="12" spans="1:3" x14ac:dyDescent="0.35">
      <c r="A12" s="423">
        <v>42217</v>
      </c>
      <c r="B12" s="405">
        <v>8465</v>
      </c>
      <c r="C12" s="405">
        <v>188</v>
      </c>
    </row>
    <row r="13" spans="1:3" x14ac:dyDescent="0.35">
      <c r="A13" s="423">
        <v>42248</v>
      </c>
      <c r="B13" s="405">
        <v>7176.6</v>
      </c>
      <c r="C13" s="405">
        <v>113</v>
      </c>
    </row>
    <row r="14" spans="1:3" x14ac:dyDescent="0.35">
      <c r="A14" s="423">
        <v>42278</v>
      </c>
      <c r="B14" s="405">
        <v>7174.9</v>
      </c>
      <c r="C14" s="405">
        <v>87</v>
      </c>
    </row>
    <row r="15" spans="1:3" x14ac:dyDescent="0.35">
      <c r="A15" s="423">
        <v>42309</v>
      </c>
      <c r="B15" s="405">
        <v>9031.7999999999993</v>
      </c>
      <c r="C15" s="405">
        <v>71</v>
      </c>
    </row>
    <row r="16" spans="1:3" x14ac:dyDescent="0.35">
      <c r="A16" s="423">
        <v>42339</v>
      </c>
      <c r="B16" s="405">
        <v>10956</v>
      </c>
      <c r="C16" s="405">
        <v>146</v>
      </c>
    </row>
  </sheetData>
  <mergeCells count="2">
    <mergeCell ref="B3:B4"/>
    <mergeCell ref="C3:C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Translation Table (internal)</vt:lpstr>
      <vt:lpstr>Basic Settings</vt:lpstr>
      <vt:lpstr>Reference</vt:lpstr>
      <vt:lpstr>Baseline</vt:lpstr>
      <vt:lpstr>Monitoring</vt:lpstr>
      <vt:lpstr>Report</vt:lpstr>
      <vt:lpstr>Disclaimer</vt:lpstr>
      <vt:lpstr>Excercise 1</vt:lpstr>
      <vt:lpstr>Excercise Baseline</vt:lpstr>
      <vt:lpstr>Exercise Monitoring</vt:lpstr>
      <vt:lpstr>a</vt:lpstr>
      <vt:lpstr>abkürzung</vt:lpstr>
      <vt:lpstr>An_Aus</vt:lpstr>
      <vt:lpstr>Report!Área_de_impresión</vt:lpstr>
      <vt:lpstr>b</vt:lpstr>
      <vt:lpstr>Baseline</vt:lpstr>
      <vt:lpstr>Daten.B</vt:lpstr>
      <vt:lpstr>Dia.y5.Mo.y</vt:lpstr>
      <vt:lpstr>Einflussgrößen</vt:lpstr>
      <vt:lpstr>einflussx</vt:lpstr>
      <vt:lpstr>einheitstreu</vt:lpstr>
      <vt:lpstr>EinheitX</vt:lpstr>
      <vt:lpstr>LEW</vt:lpstr>
      <vt:lpstr>M_B</vt:lpstr>
      <vt:lpstr>UAV</vt:lpstr>
      <vt:lpstr>ZB</vt:lpstr>
      <vt:lpstr>Zeitbezug</vt:lpstr>
      <vt:lpstr>Zeitraum.B</vt:lpstr>
      <vt:lpstr>Zeitraum.M</vt:lpstr>
      <vt:lpstr>ZM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Ratjen</dc:creator>
  <cp:lastModifiedBy>Juan Garcia Cuadrado</cp:lastModifiedBy>
  <cp:lastPrinted>2018-05-02T09:43:12Z</cp:lastPrinted>
  <dcterms:created xsi:type="dcterms:W3CDTF">2017-01-06T13:55:16Z</dcterms:created>
  <dcterms:modified xsi:type="dcterms:W3CDTF">2019-06-14T08:07:52Z</dcterms:modified>
</cp:coreProperties>
</file>