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codeName="DieseArbeitsmappe" defaultThemeVersion="124226"/>
  <mc:AlternateContent xmlns:mc="http://schemas.openxmlformats.org/markup-compatibility/2006">
    <mc:Choice Requires="x15">
      <x15ac:absPath xmlns:x15ac="http://schemas.microsoft.com/office/spreadsheetml/2010/11/ac" url="\\BOOLE\Proyectos\PR_UE_H2020_2017_INDUCE\WP3\Task 3.4\Repository Documents\"/>
    </mc:Choice>
  </mc:AlternateContent>
  <xr:revisionPtr revIDLastSave="0" documentId="13_ncr:1_{E1DAF6F9-F904-4ECB-9EA6-A71F1E25B31E}" xr6:coauthVersionLast="43" xr6:coauthVersionMax="43" xr10:uidLastSave="{00000000-0000-0000-0000-000000000000}"/>
  <bookViews>
    <workbookView xWindow="28680" yWindow="-120" windowWidth="29040" windowHeight="15840" activeTab="4" xr2:uid="{00000000-000D-0000-FFFF-FFFF00000000}"/>
  </bookViews>
  <sheets>
    <sheet name="Entries" sheetId="2" r:id="rId1"/>
    <sheet name="Results" sheetId="4" r:id="rId2"/>
    <sheet name="!" sheetId="5" state="veryHidden" r:id="rId3"/>
    <sheet name="Disclaimer" sheetId="8" r:id="rId4"/>
    <sheet name="Translations (internal)" sheetId="7" r:id="rId5"/>
  </sheets>
  <definedNames>
    <definedName name="_xlnm.Print_Area" localSheetId="2">'!'!$J$2:$Q$94</definedName>
    <definedName name="_xlnm.Print_Area" localSheetId="1">Results!$B$1:$M$57</definedName>
    <definedName name="Art_Auswertung">'!'!$V$13:$V$15</definedName>
    <definedName name="Energie">'!'!$O$6:$Q$11</definedName>
    <definedName name="Energie_I">Entries!$C$35:$D$36</definedName>
    <definedName name="Energie_M">Entries!$E$35:$E$36</definedName>
    <definedName name="Energieträger">Entries!$B$19:$B$21</definedName>
    <definedName name="Jahre">Results!$B$29:$B$54</definedName>
    <definedName name="JahrGraph" localSheetId="1">OFFSET(Results!$B$28,,,COUNT(Results!$B$28:$B$54),1)</definedName>
    <definedName name="Kumul" localSheetId="1">OFFSET(Results!$H$28,0,0,COUNT(Results!$H$28:$H$54),1)</definedName>
    <definedName name="KWF">'!'!$J$178:$M$183</definedName>
    <definedName name="kwf_E">'!'!$AP$18:$AS$27</definedName>
    <definedName name="kwfe">'!'!$O$177:$T$180</definedName>
    <definedName name="Leistung_I">Entries!$C$32:$D$33</definedName>
    <definedName name="Leistung_M">Entries!$E$32:$E$33</definedName>
    <definedName name="Liestung_M">Entries!$E$32:$E$33</definedName>
    <definedName name="Personal">'!'!$L$8:$N$11</definedName>
    <definedName name="Personal_array" comment="in Wirtschaftliche daten">Entries!$B$19:$B$19</definedName>
    <definedName name="Variante1_KWF">'!'!$AB$189:$AE$291</definedName>
    <definedName name="Variante1_KWFe">'!'!$AF$189:$AH$291</definedName>
    <definedName name="Variante2_KWF">'!'!$AI$189:$AL$291</definedName>
    <definedName name="Variante2_KWFe">'!'!$AM$189:$AO$291</definedName>
    <definedName name="years">'!'!$R$70:$R$94</definedName>
    <definedName name="Z_4315B254_8B6B_4A34_8496_E714720EBF5E_.wvu.Cols" localSheetId="2" hidden="1">'!'!$A:$H,'!'!$S:$S</definedName>
    <definedName name="Z_4315B254_8B6B_4A34_8496_E714720EBF5E_.wvu.PrintArea" localSheetId="2" hidden="1">'!'!$J$2:$Q$94</definedName>
    <definedName name="Z_4315B254_8B6B_4A34_8496_E714720EBF5E_.wvu.Rows" localSheetId="2" hidden="1">'!'!$3:$3,'!'!$32:$33,'!'!$35:$36,'!'!$38:$49,'!'!$52:$55,'!'!$95:$295</definedName>
  </definedNames>
  <calcPr calcId="191029"/>
  <customWorkbookViews>
    <customWorkbookView name="Martin Vesson - adelphi - Persönliche Ansicht" guid="{4315B254-8B6B-4A34-8496-E714720EBF5E}" mergeInterval="0" personalView="1" maximized="1" windowWidth="1276" windowHeight="799"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2" i="2" l="1"/>
  <c r="B31" i="2"/>
  <c r="B35" i="2"/>
  <c r="C36" i="2" l="1"/>
  <c r="AK74" i="5"/>
  <c r="AK79" i="5" s="1"/>
  <c r="AK75" i="5"/>
  <c r="AK80" i="5" s="1"/>
  <c r="AK73" i="5"/>
  <c r="AK78" i="5" s="1"/>
  <c r="O7" i="5"/>
  <c r="C33" i="2" s="1"/>
  <c r="O8" i="5"/>
  <c r="C34" i="2" s="1"/>
  <c r="O6" i="5"/>
  <c r="C32" i="2" s="1"/>
  <c r="M33" i="5"/>
  <c r="M32" i="5"/>
  <c r="M31" i="5"/>
  <c r="C35" i="2" l="1"/>
  <c r="C37" i="2"/>
  <c r="A23" i="8" l="1"/>
  <c r="A24" i="8"/>
  <c r="A11" i="8"/>
  <c r="A10" i="8"/>
  <c r="A8" i="8"/>
  <c r="A7" i="8"/>
  <c r="C3" i="2" l="1"/>
  <c r="D15" i="2"/>
  <c r="O113" i="2" l="1"/>
  <c r="N113" i="2"/>
  <c r="N106" i="2"/>
  <c r="P92" i="2"/>
  <c r="P91" i="2"/>
  <c r="K83" i="2"/>
  <c r="I83" i="2"/>
  <c r="M189" i="5"/>
  <c r="V189" i="5" s="1"/>
  <c r="N189" i="5"/>
  <c r="W189" i="5" s="1"/>
  <c r="O189" i="5"/>
  <c r="X189" i="5" s="1"/>
  <c r="P189" i="5"/>
  <c r="AL189" i="5"/>
  <c r="AM189" i="5"/>
  <c r="AN189" i="5"/>
  <c r="AO189" i="5"/>
  <c r="AS189" i="5"/>
  <c r="N18" i="5" l="1"/>
  <c r="L18"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88" i="5"/>
  <c r="K289" i="5"/>
  <c r="K290" i="5"/>
  <c r="K291" i="5"/>
  <c r="T217" i="5"/>
  <c r="T218" i="5"/>
  <c r="T219" i="5"/>
  <c r="T220" i="5"/>
  <c r="T221" i="5"/>
  <c r="T222" i="5"/>
  <c r="T223" i="5"/>
  <c r="T224" i="5"/>
  <c r="T225" i="5"/>
  <c r="T226" i="5"/>
  <c r="T227" i="5"/>
  <c r="T228" i="5"/>
  <c r="T229" i="5"/>
  <c r="T230" i="5"/>
  <c r="T231" i="5"/>
  <c r="T232" i="5"/>
  <c r="T233" i="5"/>
  <c r="T234" i="5"/>
  <c r="T235" i="5"/>
  <c r="T236" i="5"/>
  <c r="T237" i="5"/>
  <c r="T238" i="5"/>
  <c r="T239" i="5"/>
  <c r="T240" i="5"/>
  <c r="T241" i="5"/>
  <c r="T242" i="5"/>
  <c r="T243" i="5"/>
  <c r="T244" i="5"/>
  <c r="T245" i="5"/>
  <c r="T246" i="5"/>
  <c r="T247" i="5"/>
  <c r="T248" i="5"/>
  <c r="T249" i="5"/>
  <c r="T250" i="5"/>
  <c r="T251" i="5"/>
  <c r="T252" i="5"/>
  <c r="T253" i="5"/>
  <c r="T254" i="5"/>
  <c r="T255" i="5"/>
  <c r="T256" i="5"/>
  <c r="T257" i="5"/>
  <c r="T258" i="5"/>
  <c r="T259" i="5"/>
  <c r="T260" i="5"/>
  <c r="T261" i="5"/>
  <c r="T262" i="5"/>
  <c r="T263" i="5"/>
  <c r="T264" i="5"/>
  <c r="T265" i="5"/>
  <c r="T266" i="5"/>
  <c r="T267" i="5"/>
  <c r="T268" i="5"/>
  <c r="T269" i="5"/>
  <c r="T270" i="5"/>
  <c r="T271" i="5"/>
  <c r="T272" i="5"/>
  <c r="T273" i="5"/>
  <c r="T274" i="5"/>
  <c r="T275" i="5"/>
  <c r="T276" i="5"/>
  <c r="T277" i="5"/>
  <c r="T278" i="5"/>
  <c r="T279" i="5"/>
  <c r="T280" i="5"/>
  <c r="T281" i="5"/>
  <c r="T282" i="5"/>
  <c r="T283" i="5"/>
  <c r="T284" i="5"/>
  <c r="T285" i="5"/>
  <c r="T286" i="5"/>
  <c r="T287" i="5"/>
  <c r="T288" i="5"/>
  <c r="T289" i="5"/>
  <c r="T290" i="5"/>
  <c r="T291" i="5"/>
  <c r="N51" i="5"/>
  <c r="L51" i="5"/>
  <c r="R71" i="5"/>
  <c r="R72" i="5" s="1"/>
  <c r="R73" i="5" s="1"/>
  <c r="R74" i="5" s="1"/>
  <c r="R75" i="5" s="1"/>
  <c r="R76" i="5" s="1"/>
  <c r="R77" i="5" s="1"/>
  <c r="R78" i="5" s="1"/>
  <c r="R79" i="5" s="1"/>
  <c r="R80" i="5" s="1"/>
  <c r="R81" i="5" s="1"/>
  <c r="R82" i="5" s="1"/>
  <c r="R83" i="5" s="1"/>
  <c r="R84" i="5" s="1"/>
  <c r="R85" i="5" s="1"/>
  <c r="R86" i="5" s="1"/>
  <c r="R87" i="5" s="1"/>
  <c r="R88" i="5" s="1"/>
  <c r="R89" i="5" s="1"/>
  <c r="R90" i="5" s="1"/>
  <c r="R91" i="5" s="1"/>
  <c r="R92" i="5" s="1"/>
  <c r="R93" i="5" s="1"/>
  <c r="R94" i="5" s="1"/>
  <c r="D54" i="4" l="1"/>
  <c r="D28" i="4"/>
  <c r="L27" i="4"/>
  <c r="K27" i="4" l="1"/>
  <c r="J27" i="4"/>
  <c r="I27" i="4"/>
  <c r="H27" i="4"/>
  <c r="D56" i="4" l="1"/>
  <c r="D57" i="4"/>
  <c r="D27" i="4"/>
  <c r="D24" i="4"/>
  <c r="D25" i="4"/>
  <c r="D22" i="4"/>
  <c r="D23" i="4"/>
  <c r="D21" i="4"/>
  <c r="D20" i="4"/>
  <c r="D15" i="4"/>
  <c r="D16" i="4"/>
  <c r="D17" i="4"/>
  <c r="D18" i="4"/>
  <c r="D14" i="4"/>
  <c r="D13" i="4"/>
  <c r="G2" i="4"/>
  <c r="G4" i="4"/>
  <c r="D8" i="4"/>
  <c r="D10" i="4"/>
  <c r="D11" i="4"/>
  <c r="D9" i="4"/>
  <c r="B50" i="2"/>
  <c r="C24" i="7" s="1"/>
  <c r="B49" i="2"/>
  <c r="C23" i="7" s="1"/>
  <c r="B48" i="2"/>
  <c r="B44" i="2"/>
  <c r="B40" i="2"/>
  <c r="B38" i="2"/>
  <c r="B27" i="2"/>
  <c r="B26" i="2"/>
  <c r="B24" i="2"/>
  <c r="B23" i="2"/>
  <c r="E22" i="2"/>
  <c r="D22" i="2"/>
  <c r="B22" i="2"/>
  <c r="E15" i="2"/>
  <c r="D13" i="2"/>
  <c r="B13" i="2"/>
  <c r="E25" i="7" l="1"/>
  <c r="C48" i="7"/>
  <c r="C47" i="7"/>
  <c r="C27" i="7"/>
  <c r="C26" i="7"/>
  <c r="AH27" i="5"/>
  <c r="AH30" i="5" s="1"/>
  <c r="N120" i="2" s="1"/>
  <c r="AH28" i="5"/>
  <c r="N116" i="2" s="1"/>
  <c r="AH29" i="5"/>
  <c r="H4" i="4"/>
  <c r="H2" i="4"/>
  <c r="C2" i="2"/>
  <c r="C4" i="7" s="1"/>
  <c r="C5" i="7"/>
  <c r="W33" i="5"/>
  <c r="W32" i="5"/>
  <c r="W31" i="5"/>
  <c r="C61" i="7"/>
  <c r="C46" i="7"/>
  <c r="C42" i="7"/>
  <c r="C43" i="7"/>
  <c r="C44" i="7"/>
  <c r="C45" i="7"/>
  <c r="C41" i="7"/>
  <c r="C38" i="7"/>
  <c r="C33" i="7"/>
  <c r="C34" i="7"/>
  <c r="C35" i="7"/>
  <c r="C36" i="7"/>
  <c r="C37" i="7"/>
  <c r="C32" i="7"/>
  <c r="C29" i="7"/>
  <c r="C30" i="7"/>
  <c r="C31" i="7"/>
  <c r="C28" i="7"/>
  <c r="C22" i="7"/>
  <c r="C21" i="7"/>
  <c r="C20" i="7"/>
  <c r="C19" i="7"/>
  <c r="C18" i="7"/>
  <c r="C17" i="7"/>
  <c r="C16" i="7"/>
  <c r="C15" i="7"/>
  <c r="C14" i="7"/>
  <c r="C13" i="7"/>
  <c r="C12" i="7"/>
  <c r="C11" i="7"/>
  <c r="C10" i="7"/>
  <c r="C9" i="7"/>
  <c r="C8" i="7"/>
  <c r="C7" i="7"/>
  <c r="C6" i="7"/>
  <c r="J67" i="5"/>
  <c r="N33" i="5"/>
  <c r="L33" i="5"/>
  <c r="P6" i="5"/>
  <c r="P7" i="5"/>
  <c r="P8" i="5"/>
  <c r="Q9" i="5"/>
  <c r="O10" i="5"/>
  <c r="P10" i="5"/>
  <c r="Q10" i="5"/>
  <c r="R10" i="5"/>
  <c r="L15" i="5"/>
  <c r="N15" i="5"/>
  <c r="L17" i="5"/>
  <c r="Z5" i="5" s="1"/>
  <c r="N17" i="5"/>
  <c r="X5" i="5" s="1"/>
  <c r="N44" i="5" s="1"/>
  <c r="L20" i="5"/>
  <c r="L190" i="5" s="1"/>
  <c r="K190" i="5" s="1"/>
  <c r="J190" i="5" s="1"/>
  <c r="N20" i="5"/>
  <c r="U190" i="5" s="1"/>
  <c r="X20" i="5"/>
  <c r="V20" i="5" s="1"/>
  <c r="T58" i="5" s="1"/>
  <c r="X21" i="5"/>
  <c r="V21" i="5" s="1"/>
  <c r="T59" i="5" s="1"/>
  <c r="L26" i="5"/>
  <c r="N26" i="5"/>
  <c r="N121" i="2"/>
  <c r="L31" i="5"/>
  <c r="O31" i="5"/>
  <c r="N31" i="5"/>
  <c r="L32" i="5"/>
  <c r="O32" i="5"/>
  <c r="N32" i="5"/>
  <c r="O33" i="5"/>
  <c r="L34" i="5"/>
  <c r="N34" i="5"/>
  <c r="L35" i="5"/>
  <c r="N35" i="5"/>
  <c r="V43" i="5"/>
  <c r="Q50" i="5"/>
  <c r="P51" i="5"/>
  <c r="L59" i="5"/>
  <c r="A199" i="5" s="1"/>
  <c r="M66" i="5"/>
  <c r="O66" i="5"/>
  <c r="Q66" i="5"/>
  <c r="AK84" i="5"/>
  <c r="AK86" i="5"/>
  <c r="AN78" i="5"/>
  <c r="AN79" i="5"/>
  <c r="AN80" i="5"/>
  <c r="P93" i="2" s="1"/>
  <c r="Q8" i="5" s="1"/>
  <c r="I95" i="5"/>
  <c r="I96" i="5"/>
  <c r="I97" i="5"/>
  <c r="I98" i="5"/>
  <c r="I99" i="5"/>
  <c r="I100" i="5"/>
  <c r="I101" i="5"/>
  <c r="I102" i="5"/>
  <c r="I103" i="5"/>
  <c r="I104" i="5"/>
  <c r="I105" i="5"/>
  <c r="I106" i="5"/>
  <c r="I107" i="5"/>
  <c r="I108" i="5"/>
  <c r="I109" i="5"/>
  <c r="I110" i="5"/>
  <c r="I111" i="5"/>
  <c r="I112" i="5"/>
  <c r="I113" i="5"/>
  <c r="I114" i="5"/>
  <c r="I115" i="5"/>
  <c r="I116" i="5"/>
  <c r="I117" i="5"/>
  <c r="I118" i="5"/>
  <c r="I119" i="5"/>
  <c r="H118" i="5" s="1"/>
  <c r="I120" i="5"/>
  <c r="I121" i="5"/>
  <c r="H120" i="5" s="1"/>
  <c r="I122" i="5"/>
  <c r="I123" i="5"/>
  <c r="H122" i="5" s="1"/>
  <c r="I124" i="5"/>
  <c r="I125" i="5"/>
  <c r="I126" i="5"/>
  <c r="I127" i="5"/>
  <c r="I128" i="5"/>
  <c r="I129" i="5"/>
  <c r="H128" i="5" s="1"/>
  <c r="I130" i="5"/>
  <c r="I131" i="5"/>
  <c r="I132" i="5"/>
  <c r="I133" i="5"/>
  <c r="I134" i="5"/>
  <c r="I135" i="5"/>
  <c r="H134" i="5" s="1"/>
  <c r="I136" i="5"/>
  <c r="I137" i="5"/>
  <c r="H136" i="5" s="1"/>
  <c r="I138" i="5"/>
  <c r="I139" i="5"/>
  <c r="I140" i="5"/>
  <c r="I141" i="5"/>
  <c r="I142" i="5"/>
  <c r="I143" i="5"/>
  <c r="I144" i="5"/>
  <c r="I145" i="5"/>
  <c r="H144" i="5" s="1"/>
  <c r="I146" i="5"/>
  <c r="I147" i="5"/>
  <c r="I148" i="5"/>
  <c r="I149" i="5"/>
  <c r="I150" i="5"/>
  <c r="I151" i="5"/>
  <c r="I152" i="5"/>
  <c r="I153" i="5"/>
  <c r="H152" i="5" s="1"/>
  <c r="I154" i="5"/>
  <c r="I155" i="5"/>
  <c r="I156" i="5"/>
  <c r="I157" i="5"/>
  <c r="I158" i="5"/>
  <c r="I159" i="5"/>
  <c r="H158" i="5" s="1"/>
  <c r="I160" i="5"/>
  <c r="I161" i="5"/>
  <c r="I162" i="5"/>
  <c r="I163" i="5"/>
  <c r="I164" i="5"/>
  <c r="I165" i="5"/>
  <c r="I166" i="5"/>
  <c r="I167" i="5"/>
  <c r="I168" i="5"/>
  <c r="I169" i="5"/>
  <c r="H168" i="5" s="1"/>
  <c r="G191" i="5"/>
  <c r="G192" i="5" s="1"/>
  <c r="G193" i="5" s="1"/>
  <c r="G194" i="5" s="1"/>
  <c r="G195" i="5" s="1"/>
  <c r="G196" i="5" s="1"/>
  <c r="G197" i="5" s="1"/>
  <c r="G198" i="5" s="1"/>
  <c r="G199" i="5" s="1"/>
  <c r="G200" i="5" s="1"/>
  <c r="G201" i="5" s="1"/>
  <c r="G202" i="5" s="1"/>
  <c r="G203" i="5" s="1"/>
  <c r="G204" i="5" s="1"/>
  <c r="G205" i="5" s="1"/>
  <c r="G206" i="5" s="1"/>
  <c r="G207" i="5" s="1"/>
  <c r="G208" i="5" s="1"/>
  <c r="G209" i="5" s="1"/>
  <c r="G210" i="5" s="1"/>
  <c r="G211" i="5" s="1"/>
  <c r="G212" i="5" s="1"/>
  <c r="G213" i="5" s="1"/>
  <c r="G214" i="5" s="1"/>
  <c r="G215" i="5" s="1"/>
  <c r="G216" i="5" s="1"/>
  <c r="G217" i="5" s="1"/>
  <c r="G218" i="5" s="1"/>
  <c r="G219" i="5" s="1"/>
  <c r="G220" i="5" s="1"/>
  <c r="G221" i="5" s="1"/>
  <c r="G222" i="5" s="1"/>
  <c r="G223" i="5" s="1"/>
  <c r="G224" i="5" s="1"/>
  <c r="G225" i="5" s="1"/>
  <c r="G226" i="5" s="1"/>
  <c r="G227" i="5" s="1"/>
  <c r="G228" i="5" s="1"/>
  <c r="G229" i="5" s="1"/>
  <c r="G230" i="5" s="1"/>
  <c r="G231" i="5" s="1"/>
  <c r="G232" i="5" s="1"/>
  <c r="G233" i="5" s="1"/>
  <c r="G234" i="5" s="1"/>
  <c r="G235" i="5" s="1"/>
  <c r="G236" i="5" s="1"/>
  <c r="G237" i="5" s="1"/>
  <c r="G238" i="5" s="1"/>
  <c r="G239" i="5" s="1"/>
  <c r="G240" i="5" s="1"/>
  <c r="G241" i="5" s="1"/>
  <c r="G242" i="5" s="1"/>
  <c r="G243" i="5" s="1"/>
  <c r="G244" i="5" s="1"/>
  <c r="G245" i="5" s="1"/>
  <c r="G246" i="5" s="1"/>
  <c r="G247" i="5" s="1"/>
  <c r="G248" i="5" s="1"/>
  <c r="G249" i="5" s="1"/>
  <c r="G250" i="5" s="1"/>
  <c r="G251" i="5" s="1"/>
  <c r="G252" i="5" s="1"/>
  <c r="G253" i="5" s="1"/>
  <c r="G254" i="5" s="1"/>
  <c r="G255" i="5" s="1"/>
  <c r="G256" i="5" s="1"/>
  <c r="G257" i="5" s="1"/>
  <c r="G258" i="5" s="1"/>
  <c r="G259" i="5" s="1"/>
  <c r="G260" i="5" s="1"/>
  <c r="G261" i="5" s="1"/>
  <c r="G262" i="5" s="1"/>
  <c r="G263" i="5" s="1"/>
  <c r="G264" i="5" s="1"/>
  <c r="G265" i="5" s="1"/>
  <c r="G266" i="5" s="1"/>
  <c r="G267" i="5" s="1"/>
  <c r="G268" i="5" s="1"/>
  <c r="G269" i="5" s="1"/>
  <c r="G270" i="5" s="1"/>
  <c r="G271" i="5" s="1"/>
  <c r="G272" i="5" s="1"/>
  <c r="G273" i="5" s="1"/>
  <c r="G274" i="5" s="1"/>
  <c r="G275" i="5" s="1"/>
  <c r="G276" i="5" s="1"/>
  <c r="G277" i="5" s="1"/>
  <c r="G278" i="5" s="1"/>
  <c r="G279" i="5" s="1"/>
  <c r="G280" i="5" s="1"/>
  <c r="G281" i="5" s="1"/>
  <c r="G282" i="5" s="1"/>
  <c r="G283" i="5" s="1"/>
  <c r="G284" i="5" s="1"/>
  <c r="G285" i="5" s="1"/>
  <c r="G286" i="5" s="1"/>
  <c r="G287" i="5" s="1"/>
  <c r="G288" i="5" s="1"/>
  <c r="G289" i="5" s="1"/>
  <c r="G290" i="5" s="1"/>
  <c r="G291" i="5" s="1"/>
  <c r="G292" i="5" s="1"/>
  <c r="AY191" i="5"/>
  <c r="AZ191" i="5"/>
  <c r="AY192" i="5"/>
  <c r="AZ192" i="5"/>
  <c r="AY193" i="5"/>
  <c r="AZ193" i="5"/>
  <c r="AY194" i="5"/>
  <c r="AZ194" i="5"/>
  <c r="AY195" i="5"/>
  <c r="AZ195" i="5"/>
  <c r="AY196" i="5"/>
  <c r="AZ196" i="5"/>
  <c r="AY197" i="5"/>
  <c r="AZ197" i="5"/>
  <c r="AY198" i="5"/>
  <c r="AZ198" i="5"/>
  <c r="AY199" i="5"/>
  <c r="AZ199" i="5"/>
  <c r="AY200" i="5"/>
  <c r="AZ200" i="5"/>
  <c r="AY201" i="5"/>
  <c r="AZ201" i="5"/>
  <c r="AY202" i="5"/>
  <c r="AZ202" i="5"/>
  <c r="AY203" i="5"/>
  <c r="AZ203" i="5"/>
  <c r="AY204" i="5"/>
  <c r="AZ204" i="5"/>
  <c r="AY205" i="5"/>
  <c r="AZ205" i="5"/>
  <c r="AY206" i="5"/>
  <c r="AZ206" i="5"/>
  <c r="AY207" i="5"/>
  <c r="AZ207" i="5"/>
  <c r="AY208" i="5"/>
  <c r="AZ208" i="5"/>
  <c r="AY209" i="5"/>
  <c r="AZ209" i="5"/>
  <c r="AY210" i="5"/>
  <c r="AZ210" i="5"/>
  <c r="AY211" i="5"/>
  <c r="AZ211" i="5"/>
  <c r="AY212" i="5"/>
  <c r="AZ212" i="5"/>
  <c r="AY213" i="5"/>
  <c r="AZ213" i="5"/>
  <c r="AY214" i="5"/>
  <c r="AZ214" i="5"/>
  <c r="AY215" i="5"/>
  <c r="AZ215" i="5"/>
  <c r="AY216" i="5"/>
  <c r="AZ216" i="5"/>
  <c r="AY217" i="5"/>
  <c r="AZ217" i="5"/>
  <c r="AY218" i="5"/>
  <c r="AZ218" i="5"/>
  <c r="AY219" i="5"/>
  <c r="AZ219" i="5"/>
  <c r="AY220" i="5"/>
  <c r="AZ220" i="5"/>
  <c r="AY221" i="5"/>
  <c r="AZ221" i="5"/>
  <c r="AY222" i="5"/>
  <c r="AZ222" i="5"/>
  <c r="AY223" i="5"/>
  <c r="AZ223" i="5"/>
  <c r="AY224" i="5"/>
  <c r="AZ224" i="5"/>
  <c r="AY225" i="5"/>
  <c r="AZ225" i="5"/>
  <c r="AY226" i="5"/>
  <c r="AZ226" i="5"/>
  <c r="AY227" i="5"/>
  <c r="AZ227" i="5"/>
  <c r="AY228" i="5"/>
  <c r="AZ228" i="5"/>
  <c r="AY229" i="5"/>
  <c r="AZ229" i="5"/>
  <c r="AY230" i="5"/>
  <c r="AZ230" i="5"/>
  <c r="AY231" i="5"/>
  <c r="AZ231" i="5"/>
  <c r="AY232" i="5"/>
  <c r="AZ232" i="5"/>
  <c r="AY233" i="5"/>
  <c r="AZ233" i="5"/>
  <c r="AY234" i="5"/>
  <c r="AZ234" i="5"/>
  <c r="AY235" i="5"/>
  <c r="AZ235" i="5"/>
  <c r="AY236" i="5"/>
  <c r="AZ236" i="5"/>
  <c r="AY237" i="5"/>
  <c r="AZ237" i="5"/>
  <c r="AY238" i="5"/>
  <c r="AZ238" i="5"/>
  <c r="AY239" i="5"/>
  <c r="AZ239" i="5"/>
  <c r="AY240" i="5"/>
  <c r="AZ240" i="5"/>
  <c r="AY241" i="5"/>
  <c r="AZ241" i="5"/>
  <c r="AY242" i="5"/>
  <c r="AZ242" i="5"/>
  <c r="AY243" i="5"/>
  <c r="AZ243" i="5"/>
  <c r="AY244" i="5"/>
  <c r="AZ244" i="5"/>
  <c r="AY245" i="5"/>
  <c r="AZ245" i="5"/>
  <c r="AY246" i="5"/>
  <c r="AZ246" i="5"/>
  <c r="AY247" i="5"/>
  <c r="AZ247" i="5"/>
  <c r="AY248" i="5"/>
  <c r="AZ248" i="5"/>
  <c r="AY249" i="5"/>
  <c r="AZ249" i="5"/>
  <c r="AY250" i="5"/>
  <c r="AZ250" i="5"/>
  <c r="AY251" i="5"/>
  <c r="AZ251" i="5"/>
  <c r="AY252" i="5"/>
  <c r="AZ252" i="5"/>
  <c r="AY253" i="5"/>
  <c r="AZ253" i="5"/>
  <c r="AY254" i="5"/>
  <c r="AZ254" i="5"/>
  <c r="AY255" i="5"/>
  <c r="AZ255" i="5"/>
  <c r="AY256" i="5"/>
  <c r="AZ256" i="5"/>
  <c r="AY257" i="5"/>
  <c r="AZ257" i="5"/>
  <c r="AY258" i="5"/>
  <c r="AZ258" i="5"/>
  <c r="AY259" i="5"/>
  <c r="AZ259" i="5"/>
  <c r="AY260" i="5"/>
  <c r="AZ260" i="5"/>
  <c r="AY261" i="5"/>
  <c r="AZ261" i="5"/>
  <c r="AY262" i="5"/>
  <c r="AZ262" i="5"/>
  <c r="AY263" i="5"/>
  <c r="AZ263" i="5"/>
  <c r="AY264" i="5"/>
  <c r="AZ264" i="5"/>
  <c r="AY265" i="5"/>
  <c r="AZ265" i="5"/>
  <c r="AY266" i="5"/>
  <c r="AZ266" i="5"/>
  <c r="AY267" i="5"/>
  <c r="AZ267" i="5"/>
  <c r="AY268" i="5"/>
  <c r="AZ268" i="5"/>
  <c r="AY269" i="5"/>
  <c r="AZ269" i="5"/>
  <c r="AY270" i="5"/>
  <c r="AZ270" i="5"/>
  <c r="AY271" i="5"/>
  <c r="AZ271" i="5"/>
  <c r="AY272" i="5"/>
  <c r="AZ272" i="5"/>
  <c r="AY273" i="5"/>
  <c r="AZ273" i="5"/>
  <c r="AY274" i="5"/>
  <c r="AZ274" i="5"/>
  <c r="AY275" i="5"/>
  <c r="AZ275" i="5"/>
  <c r="AY276" i="5"/>
  <c r="AZ276" i="5"/>
  <c r="AY277" i="5"/>
  <c r="AZ277" i="5"/>
  <c r="AY278" i="5"/>
  <c r="AZ278" i="5"/>
  <c r="AY279" i="5"/>
  <c r="AZ279" i="5"/>
  <c r="AY280" i="5"/>
  <c r="AZ280" i="5"/>
  <c r="AY281" i="5"/>
  <c r="AZ281" i="5"/>
  <c r="AY282" i="5"/>
  <c r="AZ282" i="5"/>
  <c r="AY283" i="5"/>
  <c r="AZ283" i="5"/>
  <c r="AY284" i="5"/>
  <c r="AZ284" i="5"/>
  <c r="AY285" i="5"/>
  <c r="AZ285" i="5"/>
  <c r="AY286" i="5"/>
  <c r="AZ286" i="5"/>
  <c r="AY287" i="5"/>
  <c r="AZ287" i="5"/>
  <c r="AY288" i="5"/>
  <c r="AZ288" i="5"/>
  <c r="AY289" i="5"/>
  <c r="AZ289" i="5"/>
  <c r="AY290" i="5"/>
  <c r="AZ290" i="5"/>
  <c r="AY291" i="5"/>
  <c r="AZ291" i="5"/>
  <c r="AY292" i="5"/>
  <c r="AZ292" i="5"/>
  <c r="G20" i="4"/>
  <c r="C39" i="7" s="1"/>
  <c r="H20" i="4"/>
  <c r="C40" i="7" s="1"/>
  <c r="G21" i="4"/>
  <c r="H21" i="4"/>
  <c r="E54" i="4"/>
  <c r="F54" i="4" s="1"/>
  <c r="I54" i="4"/>
  <c r="J54" i="4"/>
  <c r="K54" i="4"/>
  <c r="L54" i="4"/>
  <c r="P88" i="2"/>
  <c r="L6" i="5" s="1"/>
  <c r="N103" i="2"/>
  <c r="P103" i="2"/>
  <c r="O106" i="2"/>
  <c r="N107" i="2"/>
  <c r="O107" i="2"/>
  <c r="O115" i="2"/>
  <c r="O116" i="2"/>
  <c r="N119" i="2"/>
  <c r="O119" i="2"/>
  <c r="O120" i="2"/>
  <c r="O121" i="2"/>
  <c r="H169" i="5"/>
  <c r="H104" i="5"/>
  <c r="H161" i="5"/>
  <c r="H129" i="5"/>
  <c r="H96" i="5"/>
  <c r="H121" i="5"/>
  <c r="H112" i="5"/>
  <c r="H113" i="5"/>
  <c r="H149" i="5" l="1"/>
  <c r="H141" i="5"/>
  <c r="H133" i="5"/>
  <c r="H117" i="5"/>
  <c r="H109" i="5"/>
  <c r="H101" i="5"/>
  <c r="Q7" i="5"/>
  <c r="AW277" i="5" s="1"/>
  <c r="Q6" i="5"/>
  <c r="AV270" i="5" s="1"/>
  <c r="AC189" i="5"/>
  <c r="AJ189" i="5" s="1"/>
  <c r="AQ189" i="5" s="1"/>
  <c r="J182" i="5"/>
  <c r="J181" i="5"/>
  <c r="AB189" i="5"/>
  <c r="AI189" i="5" s="1"/>
  <c r="AP189" i="5" s="1"/>
  <c r="AD189" i="5"/>
  <c r="AK189" i="5" s="1"/>
  <c r="AR189" i="5" s="1"/>
  <c r="J183" i="5"/>
  <c r="H164" i="5"/>
  <c r="H156" i="5"/>
  <c r="H124" i="5"/>
  <c r="H163" i="5"/>
  <c r="H155" i="5"/>
  <c r="H147" i="5"/>
  <c r="H115" i="5"/>
  <c r="H167" i="5"/>
  <c r="H127" i="5"/>
  <c r="T190" i="5"/>
  <c r="S190" i="5" s="1"/>
  <c r="K69" i="5" s="1"/>
  <c r="I69" i="5" s="1"/>
  <c r="A223" i="5"/>
  <c r="C223" i="5" s="1"/>
  <c r="H140" i="5"/>
  <c r="H132" i="5"/>
  <c r="H108" i="5"/>
  <c r="H100" i="5"/>
  <c r="T95" i="5"/>
  <c r="G54" i="4"/>
  <c r="H105" i="5"/>
  <c r="A234" i="5"/>
  <c r="E234" i="5" s="1"/>
  <c r="H157" i="5"/>
  <c r="H125" i="5"/>
  <c r="A194" i="5"/>
  <c r="A280" i="5"/>
  <c r="C280" i="5" s="1"/>
  <c r="A290" i="5"/>
  <c r="E290" i="5" s="1"/>
  <c r="A291" i="5"/>
  <c r="C291" i="5" s="1"/>
  <c r="A283" i="5"/>
  <c r="C283" i="5" s="1"/>
  <c r="A225" i="5"/>
  <c r="C225" i="5" s="1"/>
  <c r="A228" i="5"/>
  <c r="E228" i="5" s="1"/>
  <c r="A214" i="5"/>
  <c r="C214" i="5" s="1"/>
  <c r="A211" i="5"/>
  <c r="E211" i="5" s="1"/>
  <c r="A204" i="5"/>
  <c r="C204" i="5" s="1"/>
  <c r="A249" i="5"/>
  <c r="E249" i="5" s="1"/>
  <c r="A257" i="5"/>
  <c r="E257" i="5" s="1"/>
  <c r="A247" i="5"/>
  <c r="C247" i="5" s="1"/>
  <c r="A250" i="5"/>
  <c r="E250" i="5" s="1"/>
  <c r="A216" i="5"/>
  <c r="E216" i="5" s="1"/>
  <c r="A269" i="5"/>
  <c r="C269" i="5" s="1"/>
  <c r="A227" i="5"/>
  <c r="E227" i="5" s="1"/>
  <c r="A202" i="5"/>
  <c r="E202" i="5" s="1"/>
  <c r="A191" i="5"/>
  <c r="C191" i="5" s="1"/>
  <c r="A254" i="5"/>
  <c r="C254" i="5" s="1"/>
  <c r="A265" i="5"/>
  <c r="C265" i="5" s="1"/>
  <c r="A268" i="5"/>
  <c r="E268" i="5" s="1"/>
  <c r="A255" i="5"/>
  <c r="C255" i="5" s="1"/>
  <c r="A229" i="5"/>
  <c r="E229" i="5" s="1"/>
  <c r="A288" i="5"/>
  <c r="C288" i="5" s="1"/>
  <c r="A241" i="5"/>
  <c r="C241" i="5" s="1"/>
  <c r="A244" i="5"/>
  <c r="E244" i="5" s="1"/>
  <c r="A231" i="5"/>
  <c r="E231" i="5" s="1"/>
  <c r="A242" i="5"/>
  <c r="C242" i="5" s="1"/>
  <c r="A201" i="5"/>
  <c r="C201" i="5" s="1"/>
  <c r="A253" i="5"/>
  <c r="E253" i="5" s="1"/>
  <c r="A235" i="5"/>
  <c r="C235" i="5" s="1"/>
  <c r="A222" i="5"/>
  <c r="E222" i="5" s="1"/>
  <c r="A193" i="5"/>
  <c r="C193" i="5" s="1"/>
  <c r="A270" i="5"/>
  <c r="E270" i="5" s="1"/>
  <c r="A273" i="5"/>
  <c r="A284" i="5"/>
  <c r="E284" i="5" s="1"/>
  <c r="A263" i="5"/>
  <c r="E263" i="5" s="1"/>
  <c r="A237" i="5"/>
  <c r="C237" i="5" s="1"/>
  <c r="A243" i="5"/>
  <c r="E243" i="5" s="1"/>
  <c r="A289" i="5"/>
  <c r="C289" i="5" s="1"/>
  <c r="A198" i="5"/>
  <c r="C198" i="5" s="1"/>
  <c r="A279" i="5"/>
  <c r="E279" i="5" s="1"/>
  <c r="A277" i="5"/>
  <c r="C277" i="5" s="1"/>
  <c r="A251" i="5"/>
  <c r="E251" i="5" s="1"/>
  <c r="A259" i="5"/>
  <c r="E259" i="5" s="1"/>
  <c r="A195" i="5"/>
  <c r="A210" i="5"/>
  <c r="E210" i="5" s="1"/>
  <c r="A203" i="5"/>
  <c r="A206" i="5"/>
  <c r="E206" i="5" s="1"/>
  <c r="A287" i="5"/>
  <c r="A258" i="5"/>
  <c r="C258" i="5" s="1"/>
  <c r="A230" i="5"/>
  <c r="C230" i="5" s="1"/>
  <c r="A286" i="5"/>
  <c r="E286" i="5" s="1"/>
  <c r="A245" i="5"/>
  <c r="E245" i="5" s="1"/>
  <c r="A264" i="5"/>
  <c r="E264" i="5" s="1"/>
  <c r="A275" i="5"/>
  <c r="E275" i="5" s="1"/>
  <c r="A205" i="5"/>
  <c r="E205" i="5" s="1"/>
  <c r="A215" i="5"/>
  <c r="C215" i="5" s="1"/>
  <c r="A218" i="5"/>
  <c r="C218" i="5" s="1"/>
  <c r="A226" i="5"/>
  <c r="C226" i="5" s="1"/>
  <c r="A192" i="5"/>
  <c r="C192" i="5" s="1"/>
  <c r="A274" i="5"/>
  <c r="E274" i="5" s="1"/>
  <c r="H138" i="5"/>
  <c r="H130" i="5"/>
  <c r="H107" i="5"/>
  <c r="H98" i="5"/>
  <c r="H97" i="5"/>
  <c r="H145" i="5"/>
  <c r="H154" i="5"/>
  <c r="H119" i="5"/>
  <c r="H114" i="5"/>
  <c r="H166" i="5"/>
  <c r="H142" i="5"/>
  <c r="H103" i="5"/>
  <c r="H95" i="5"/>
  <c r="H137" i="5"/>
  <c r="H110" i="5"/>
  <c r="C59" i="7"/>
  <c r="H162" i="5"/>
  <c r="H150" i="5"/>
  <c r="H139" i="5"/>
  <c r="H135" i="5"/>
  <c r="H131" i="5"/>
  <c r="H123" i="5"/>
  <c r="H116" i="5"/>
  <c r="H106" i="5"/>
  <c r="H160" i="5"/>
  <c r="H151" i="5"/>
  <c r="H148" i="5"/>
  <c r="H143" i="5"/>
  <c r="H111" i="5"/>
  <c r="AL75" i="5"/>
  <c r="M35" i="5"/>
  <c r="O35" i="5" s="1"/>
  <c r="AM193" i="5"/>
  <c r="D286" i="5"/>
  <c r="AM254" i="5"/>
  <c r="AM199" i="5"/>
  <c r="AM243" i="5"/>
  <c r="AM282" i="5"/>
  <c r="D220" i="5"/>
  <c r="D223" i="5"/>
  <c r="D253" i="5"/>
  <c r="D288" i="5"/>
  <c r="AM232" i="5"/>
  <c r="D228" i="5"/>
  <c r="H159" i="5"/>
  <c r="H153" i="5"/>
  <c r="H146" i="5"/>
  <c r="H165" i="5"/>
  <c r="H99" i="5"/>
  <c r="H126" i="5"/>
  <c r="H102" i="5"/>
  <c r="C58" i="7"/>
  <c r="C57" i="7"/>
  <c r="L67" i="5"/>
  <c r="C51" i="7"/>
  <c r="H54" i="4"/>
  <c r="U95" i="5"/>
  <c r="B54" i="4"/>
  <c r="M67" i="5"/>
  <c r="B28" i="4"/>
  <c r="A209" i="5"/>
  <c r="A256" i="5"/>
  <c r="A207" i="5"/>
  <c r="A246" i="5"/>
  <c r="A212" i="5"/>
  <c r="A278" i="5"/>
  <c r="E278" i="5" s="1"/>
  <c r="A236" i="5"/>
  <c r="A224" i="5"/>
  <c r="A260" i="5"/>
  <c r="C260" i="5" s="1"/>
  <c r="A271" i="5"/>
  <c r="A266" i="5"/>
  <c r="A285" i="5"/>
  <c r="A219" i="5"/>
  <c r="A272" i="5"/>
  <c r="C272" i="5" s="1"/>
  <c r="A217" i="5"/>
  <c r="A267" i="5"/>
  <c r="E267" i="5" s="1"/>
  <c r="A233" i="5"/>
  <c r="C233" i="5" s="1"/>
  <c r="A200" i="5"/>
  <c r="A252" i="5"/>
  <c r="A208" i="5"/>
  <c r="A276" i="5"/>
  <c r="A221" i="5"/>
  <c r="A282" i="5"/>
  <c r="A248" i="5"/>
  <c r="A232" i="5"/>
  <c r="A238" i="5"/>
  <c r="A197" i="5"/>
  <c r="A262" i="5"/>
  <c r="A220" i="5"/>
  <c r="C220" i="5" s="1"/>
  <c r="A281" i="5"/>
  <c r="A239" i="5"/>
  <c r="A213" i="5"/>
  <c r="A196" i="5"/>
  <c r="E196" i="5" s="1"/>
  <c r="A240" i="5"/>
  <c r="E199" i="5"/>
  <c r="C199" i="5"/>
  <c r="A261" i="5"/>
  <c r="D265" i="5"/>
  <c r="D197" i="5"/>
  <c r="D262" i="5"/>
  <c r="AL78" i="5"/>
  <c r="D222" i="5"/>
  <c r="D290" i="5"/>
  <c r="D238" i="5"/>
  <c r="AM228" i="5"/>
  <c r="D236" i="5"/>
  <c r="AM211" i="5"/>
  <c r="AM206" i="5"/>
  <c r="AM291" i="5"/>
  <c r="AM261" i="5"/>
  <c r="AM195" i="5"/>
  <c r="AM266" i="5"/>
  <c r="AM285" i="5"/>
  <c r="AM217" i="5"/>
  <c r="AM233" i="5"/>
  <c r="AM245" i="5"/>
  <c r="AM80" i="5"/>
  <c r="AM287" i="5"/>
  <c r="D209" i="5"/>
  <c r="AM237" i="5"/>
  <c r="AM221" i="5"/>
  <c r="AM253" i="5"/>
  <c r="D205" i="5"/>
  <c r="D201" i="5"/>
  <c r="AM212" i="5"/>
  <c r="AM252" i="5"/>
  <c r="AM220" i="5"/>
  <c r="AM235" i="5"/>
  <c r="AU284" i="5"/>
  <c r="AS284" i="5" s="1"/>
  <c r="AU254" i="5"/>
  <c r="AT254" i="5" s="1"/>
  <c r="AU263" i="5"/>
  <c r="AS263" i="5" s="1"/>
  <c r="AU275" i="5"/>
  <c r="AT275" i="5" s="1"/>
  <c r="AU288" i="5"/>
  <c r="AS288" i="5" s="1"/>
  <c r="AU268" i="5"/>
  <c r="AS268" i="5" s="1"/>
  <c r="AU201" i="5"/>
  <c r="AT201" i="5" s="1"/>
  <c r="AU247" i="5"/>
  <c r="AS247" i="5" s="1"/>
  <c r="AU192" i="5"/>
  <c r="AT192" i="5" s="1"/>
  <c r="AU249" i="5"/>
  <c r="AT249" i="5" s="1"/>
  <c r="AU244" i="5"/>
  <c r="AT244" i="5" s="1"/>
  <c r="AU267" i="5"/>
  <c r="AS267" i="5" s="1"/>
  <c r="AU262" i="5"/>
  <c r="AT262" i="5" s="1"/>
  <c r="AU197" i="5"/>
  <c r="AS197" i="5" s="1"/>
  <c r="AU282" i="5"/>
  <c r="AT282" i="5" s="1"/>
  <c r="AU260" i="5"/>
  <c r="AS260" i="5" s="1"/>
  <c r="AU220" i="5"/>
  <c r="AU219" i="5"/>
  <c r="AS219" i="5" s="1"/>
  <c r="AU198" i="5"/>
  <c r="AT198" i="5" s="1"/>
  <c r="AU234" i="5"/>
  <c r="AT234" i="5" s="1"/>
  <c r="AU193" i="5"/>
  <c r="AS193" i="5" s="1"/>
  <c r="AU211" i="5"/>
  <c r="AS211" i="5" s="1"/>
  <c r="AU199" i="5"/>
  <c r="AT199" i="5" s="1"/>
  <c r="AU270" i="5"/>
  <c r="AT270" i="5" s="1"/>
  <c r="AU258" i="5"/>
  <c r="AS258" i="5" s="1"/>
  <c r="AU196" i="5"/>
  <c r="AT196" i="5" s="1"/>
  <c r="AM78" i="5"/>
  <c r="D221" i="5"/>
  <c r="AM236" i="5"/>
  <c r="D218" i="5"/>
  <c r="AM216" i="5"/>
  <c r="AM229" i="5"/>
  <c r="D267" i="5"/>
  <c r="D272" i="5"/>
  <c r="AM270" i="5"/>
  <c r="D276" i="5"/>
  <c r="AM219" i="5"/>
  <c r="AM284" i="5"/>
  <c r="D256" i="5"/>
  <c r="AM286" i="5"/>
  <c r="AM227" i="5"/>
  <c r="D263" i="5"/>
  <c r="M36" i="5"/>
  <c r="O36" i="5" s="1"/>
  <c r="D285" i="5"/>
  <c r="AM201" i="5"/>
  <c r="D212" i="5"/>
  <c r="AM246" i="5"/>
  <c r="D237" i="5"/>
  <c r="D233" i="5"/>
  <c r="D247" i="5"/>
  <c r="AM255" i="5"/>
  <c r="D192" i="5"/>
  <c r="D250" i="5"/>
  <c r="AM73" i="5"/>
  <c r="AM75" i="5"/>
  <c r="AM74" i="5"/>
  <c r="AV211" i="5"/>
  <c r="AV236" i="5"/>
  <c r="AV205" i="5"/>
  <c r="AV226" i="5"/>
  <c r="AV218" i="5"/>
  <c r="AV217" i="5"/>
  <c r="AV240" i="5"/>
  <c r="AV268" i="5"/>
  <c r="AV250" i="5"/>
  <c r="AX207" i="5"/>
  <c r="AX259" i="5"/>
  <c r="AX240" i="5"/>
  <c r="AX270" i="5"/>
  <c r="AX272" i="5"/>
  <c r="AX268" i="5"/>
  <c r="AX222" i="5"/>
  <c r="AX213" i="5"/>
  <c r="AX214" i="5"/>
  <c r="AX251" i="5"/>
  <c r="AX263" i="5"/>
  <c r="AX198" i="5"/>
  <c r="AX284" i="5"/>
  <c r="AX236" i="5"/>
  <c r="AX221" i="5"/>
  <c r="AX211" i="5"/>
  <c r="AX274" i="5"/>
  <c r="AX264" i="5"/>
  <c r="AX286" i="5"/>
  <c r="AX252" i="5"/>
  <c r="AX253" i="5"/>
  <c r="AX280" i="5"/>
  <c r="AX223" i="5"/>
  <c r="AX245" i="5"/>
  <c r="AX192" i="5"/>
  <c r="AX246" i="5"/>
  <c r="AX227" i="5"/>
  <c r="AX277" i="5"/>
  <c r="AX204" i="5"/>
  <c r="AX217" i="5"/>
  <c r="AX287" i="5"/>
  <c r="AX279" i="5"/>
  <c r="AX197" i="5"/>
  <c r="AX265" i="5"/>
  <c r="AX269" i="5"/>
  <c r="AX260" i="5"/>
  <c r="AX281" i="5"/>
  <c r="AX234" i="5"/>
  <c r="AX202" i="5"/>
  <c r="AX247" i="5"/>
  <c r="AX229" i="5"/>
  <c r="AX278" i="5"/>
  <c r="AX200" i="5"/>
  <c r="AX250" i="5"/>
  <c r="AX237" i="5"/>
  <c r="AX291" i="5"/>
  <c r="AX241" i="5"/>
  <c r="AX226" i="5"/>
  <c r="AX199" i="5"/>
  <c r="AX257" i="5"/>
  <c r="AX206" i="5"/>
  <c r="AX285" i="5"/>
  <c r="AX196" i="5"/>
  <c r="AX273" i="5"/>
  <c r="AX290" i="5"/>
  <c r="AX276" i="5"/>
  <c r="AX203" i="5"/>
  <c r="AX267" i="5"/>
  <c r="AX233" i="5"/>
  <c r="AX232" i="5"/>
  <c r="AX194" i="5"/>
  <c r="AX266" i="5"/>
  <c r="AX208" i="5"/>
  <c r="AX262" i="5"/>
  <c r="AX205" i="5"/>
  <c r="AX242" i="5"/>
  <c r="AX201" i="5"/>
  <c r="AX238" i="5"/>
  <c r="AX209" i="5"/>
  <c r="AX289" i="5"/>
  <c r="AX231" i="5"/>
  <c r="AX292" i="5"/>
  <c r="AX256" i="5"/>
  <c r="AX210" i="5"/>
  <c r="AX261" i="5"/>
  <c r="AX216" i="5"/>
  <c r="AX193" i="5"/>
  <c r="AX220" i="5"/>
  <c r="AX282" i="5"/>
  <c r="AX212" i="5"/>
  <c r="AX254" i="5"/>
  <c r="AX215" i="5"/>
  <c r="AX283" i="5"/>
  <c r="AX255" i="5"/>
  <c r="AX195" i="5"/>
  <c r="AX258" i="5"/>
  <c r="AX271" i="5"/>
  <c r="AX225" i="5"/>
  <c r="AX243" i="5"/>
  <c r="AX244" i="5"/>
  <c r="AX228" i="5"/>
  <c r="AX224" i="5"/>
  <c r="AX288" i="5"/>
  <c r="AX219" i="5"/>
  <c r="AX275" i="5"/>
  <c r="AX230" i="5"/>
  <c r="AX191" i="5"/>
  <c r="AX239" i="5"/>
  <c r="AX249" i="5"/>
  <c r="AX218" i="5"/>
  <c r="AX235" i="5"/>
  <c r="AX248" i="5"/>
  <c r="AM197" i="5"/>
  <c r="AM263" i="5"/>
  <c r="D219" i="5"/>
  <c r="AM276" i="5"/>
  <c r="D280" i="5"/>
  <c r="D235" i="5"/>
  <c r="D264" i="5"/>
  <c r="D198" i="5"/>
  <c r="D277" i="5"/>
  <c r="D211" i="5"/>
  <c r="AM272" i="5"/>
  <c r="AM249" i="5"/>
  <c r="D275" i="5"/>
  <c r="D289" i="5"/>
  <c r="AM279" i="5"/>
  <c r="D210" i="5"/>
  <c r="D245" i="5"/>
  <c r="AM215" i="5"/>
  <c r="AM226" i="5"/>
  <c r="AM223" i="5"/>
  <c r="D246" i="5"/>
  <c r="AM271" i="5"/>
  <c r="AM203" i="5"/>
  <c r="D244" i="5"/>
  <c r="D231" i="5"/>
  <c r="AM242" i="5"/>
  <c r="D268" i="5"/>
  <c r="AM238" i="5"/>
  <c r="AM191" i="5"/>
  <c r="AM241" i="5"/>
  <c r="D252" i="5"/>
  <c r="D202" i="5"/>
  <c r="D248" i="5"/>
  <c r="AM280" i="5"/>
  <c r="D251" i="5"/>
  <c r="D291" i="5"/>
  <c r="AL79" i="5"/>
  <c r="AM79" i="5"/>
  <c r="AK85" i="5"/>
  <c r="AL74" i="5"/>
  <c r="AW202" i="5"/>
  <c r="AW261" i="5"/>
  <c r="AU209" i="5"/>
  <c r="AU274" i="5"/>
  <c r="AU191" i="5"/>
  <c r="AU238" i="5"/>
  <c r="AU277" i="5"/>
  <c r="AU212" i="5"/>
  <c r="AU248" i="5"/>
  <c r="AU273" i="5"/>
  <c r="AU207" i="5"/>
  <c r="AU256" i="5"/>
  <c r="AU225" i="5"/>
  <c r="AU259" i="5"/>
  <c r="AU241" i="5"/>
  <c r="AU283" i="5"/>
  <c r="AU205" i="5"/>
  <c r="AU239" i="5"/>
  <c r="AU216" i="5"/>
  <c r="AU291" i="5"/>
  <c r="AU252" i="5"/>
  <c r="AU210" i="5"/>
  <c r="AU227" i="5"/>
  <c r="AU255" i="5"/>
  <c r="AU214" i="5"/>
  <c r="AU251" i="5"/>
  <c r="AU222" i="5"/>
  <c r="AU287" i="5"/>
  <c r="AU276" i="5"/>
  <c r="AU202" i="5"/>
  <c r="AU246" i="5"/>
  <c r="AU221" i="5"/>
  <c r="AU194" i="5"/>
  <c r="AU265" i="5"/>
  <c r="AU208" i="5"/>
  <c r="AU279" i="5"/>
  <c r="AU250" i="5"/>
  <c r="AU233" i="5"/>
  <c r="AU280" i="5"/>
  <c r="AU228" i="5"/>
  <c r="AU264" i="5"/>
  <c r="AU261" i="5"/>
  <c r="AU232" i="5"/>
  <c r="AU290" i="5"/>
  <c r="AU223" i="5"/>
  <c r="AU204" i="5"/>
  <c r="AU278" i="5"/>
  <c r="AU224" i="5"/>
  <c r="AU217" i="5"/>
  <c r="AU285" i="5"/>
  <c r="AU237" i="5"/>
  <c r="AU266" i="5"/>
  <c r="AU245" i="5"/>
  <c r="AU203" i="5"/>
  <c r="AU206" i="5"/>
  <c r="AU272" i="5"/>
  <c r="AU269" i="5"/>
  <c r="AU213" i="5"/>
  <c r="AU230" i="5"/>
  <c r="AU218" i="5"/>
  <c r="AU226" i="5"/>
  <c r="AU292" i="5"/>
  <c r="AU253" i="5"/>
  <c r="AU289" i="5"/>
  <c r="AS289" i="5" s="1"/>
  <c r="AU242" i="5"/>
  <c r="AU200" i="5"/>
  <c r="AU215" i="5"/>
  <c r="AS215" i="5" s="1"/>
  <c r="AU236" i="5"/>
  <c r="AU271" i="5"/>
  <c r="AS271" i="5" s="1"/>
  <c r="AU257" i="5"/>
  <c r="AT257" i="5" s="1"/>
  <c r="AU229" i="5"/>
  <c r="AU243" i="5"/>
  <c r="AU240" i="5"/>
  <c r="AS240" i="5" s="1"/>
  <c r="AU231" i="5"/>
  <c r="AS231" i="5" s="1"/>
  <c r="AU286" i="5"/>
  <c r="AS286" i="5" s="1"/>
  <c r="AU281" i="5"/>
  <c r="AS281" i="5" s="1"/>
  <c r="AU195" i="5"/>
  <c r="AT195" i="5" s="1"/>
  <c r="AU235" i="5"/>
  <c r="AS235" i="5" s="1"/>
  <c r="M34" i="5"/>
  <c r="AL73" i="5"/>
  <c r="L69" i="5"/>
  <c r="M69" i="5"/>
  <c r="P37" i="5"/>
  <c r="P44" i="5"/>
  <c r="AW262" i="5"/>
  <c r="D274" i="5"/>
  <c r="D224" i="5"/>
  <c r="D258" i="5"/>
  <c r="AM209" i="5"/>
  <c r="AM230" i="5"/>
  <c r="D225" i="5"/>
  <c r="D195" i="5"/>
  <c r="AM244" i="5"/>
  <c r="AM250" i="5"/>
  <c r="D278" i="5"/>
  <c r="AM214" i="5"/>
  <c r="D196" i="5"/>
  <c r="AM265" i="5"/>
  <c r="D215" i="5"/>
  <c r="D281" i="5"/>
  <c r="AM264" i="5"/>
  <c r="D242" i="5"/>
  <c r="D200" i="5"/>
  <c r="AM258" i="5"/>
  <c r="AM240" i="5"/>
  <c r="AM198" i="5"/>
  <c r="AM273" i="5"/>
  <c r="AM267" i="5"/>
  <c r="AM277" i="5"/>
  <c r="AM205" i="5"/>
  <c r="D282" i="5"/>
  <c r="AL80" i="5"/>
  <c r="AM251" i="5"/>
  <c r="D199" i="5"/>
  <c r="D271" i="5"/>
  <c r="D287" i="5"/>
  <c r="D240" i="5"/>
  <c r="AM222" i="5"/>
  <c r="AM289" i="5"/>
  <c r="D217" i="5"/>
  <c r="AM259" i="5"/>
  <c r="AM234" i="5"/>
  <c r="D204" i="5"/>
  <c r="D266" i="5"/>
  <c r="D255" i="5"/>
  <c r="AM208" i="5"/>
  <c r="AM192" i="5"/>
  <c r="D259" i="5"/>
  <c r="D213" i="5"/>
  <c r="AM275" i="5"/>
  <c r="AM257" i="5"/>
  <c r="D208" i="5"/>
  <c r="AM288" i="5"/>
  <c r="D216" i="5"/>
  <c r="D257" i="5"/>
  <c r="D234" i="5"/>
  <c r="D203" i="5"/>
  <c r="V5" i="5"/>
  <c r="AF227" i="5" s="1"/>
  <c r="AM281" i="5"/>
  <c r="AM247" i="5"/>
  <c r="D239" i="5"/>
  <c r="AM283" i="5"/>
  <c r="D254" i="5"/>
  <c r="D227" i="5"/>
  <c r="D261" i="5"/>
  <c r="AM225" i="5"/>
  <c r="D284" i="5"/>
  <c r="D232" i="5"/>
  <c r="AM204" i="5"/>
  <c r="D241" i="5"/>
  <c r="D230" i="5"/>
  <c r="AM202" i="5"/>
  <c r="AM256" i="5"/>
  <c r="D270" i="5"/>
  <c r="D226" i="5"/>
  <c r="AM290" i="5"/>
  <c r="AM268" i="5"/>
  <c r="AM224" i="5"/>
  <c r="D260" i="5"/>
  <c r="D194" i="5"/>
  <c r="AM262" i="5"/>
  <c r="AM231" i="5"/>
  <c r="AM196" i="5"/>
  <c r="AM260" i="5"/>
  <c r="D191" i="5"/>
  <c r="D229" i="5"/>
  <c r="AM248" i="5"/>
  <c r="AM269" i="5"/>
  <c r="AM207" i="5"/>
  <c r="D249" i="5"/>
  <c r="AM210" i="5"/>
  <c r="AM278" i="5"/>
  <c r="D243" i="5"/>
  <c r="AM194" i="5"/>
  <c r="D269" i="5"/>
  <c r="D214" i="5"/>
  <c r="AM200" i="5"/>
  <c r="AM274" i="5"/>
  <c r="AM239" i="5"/>
  <c r="AM213" i="5"/>
  <c r="D273" i="5"/>
  <c r="D279" i="5"/>
  <c r="D207" i="5"/>
  <c r="D193" i="5"/>
  <c r="D206" i="5"/>
  <c r="D283" i="5"/>
  <c r="AM218" i="5"/>
  <c r="AW254" i="5" l="1"/>
  <c r="AW267" i="5"/>
  <c r="AW216" i="5"/>
  <c r="AW211" i="5"/>
  <c r="AW212" i="5"/>
  <c r="AW269" i="5"/>
  <c r="AW220" i="5"/>
  <c r="AQ220" i="5" s="1"/>
  <c r="AW290" i="5"/>
  <c r="AW272" i="5"/>
  <c r="AW194" i="5"/>
  <c r="AW209" i="5"/>
  <c r="AW243" i="5"/>
  <c r="AW247" i="5"/>
  <c r="AW238" i="5"/>
  <c r="AW199" i="5"/>
  <c r="AQ199" i="5" s="1"/>
  <c r="AJ199" i="5" s="1"/>
  <c r="AW266" i="5"/>
  <c r="AW271" i="5"/>
  <c r="AW280" i="5"/>
  <c r="AW213" i="5"/>
  <c r="AW285" i="5"/>
  <c r="AW260" i="5"/>
  <c r="AW289" i="5"/>
  <c r="AW217" i="5"/>
  <c r="AW240" i="5"/>
  <c r="AW259" i="5"/>
  <c r="AW206" i="5"/>
  <c r="AW250" i="5"/>
  <c r="AW276" i="5"/>
  <c r="AW219" i="5"/>
  <c r="AW197" i="5"/>
  <c r="AW231" i="5"/>
  <c r="AW265" i="5"/>
  <c r="AW233" i="5"/>
  <c r="AW193" i="5"/>
  <c r="AW248" i="5"/>
  <c r="AW215" i="5"/>
  <c r="AW198" i="5"/>
  <c r="AW244" i="5"/>
  <c r="AW270" i="5"/>
  <c r="AQ270" i="5" s="1"/>
  <c r="AJ270" i="5" s="1"/>
  <c r="AW208" i="5"/>
  <c r="AW284" i="5"/>
  <c r="AW281" i="5"/>
  <c r="AW192" i="5"/>
  <c r="AW203" i="5"/>
  <c r="AW223" i="5"/>
  <c r="AW257" i="5"/>
  <c r="AV257" i="5"/>
  <c r="AP257" i="5" s="1"/>
  <c r="AV246" i="5"/>
  <c r="AP246" i="5" s="1"/>
  <c r="AV242" i="5"/>
  <c r="AV192" i="5"/>
  <c r="AP192" i="5" s="1"/>
  <c r="AV216" i="5"/>
  <c r="AV233" i="5"/>
  <c r="AP233" i="5" s="1"/>
  <c r="AV259" i="5"/>
  <c r="AP259" i="5" s="1"/>
  <c r="AV243" i="5"/>
  <c r="AP243" i="5" s="1"/>
  <c r="AI243" i="5" s="1"/>
  <c r="AV238" i="5"/>
  <c r="AV214" i="5"/>
  <c r="AP214" i="5" s="1"/>
  <c r="AB214" i="5" s="1"/>
  <c r="M214" i="5" s="1"/>
  <c r="AV282" i="5"/>
  <c r="AP282" i="5" s="1"/>
  <c r="AV256" i="5"/>
  <c r="AP256" i="5" s="1"/>
  <c r="AV225" i="5"/>
  <c r="AP225" i="5" s="1"/>
  <c r="AV254" i="5"/>
  <c r="AV274" i="5"/>
  <c r="AP274" i="5" s="1"/>
  <c r="AV199" i="5"/>
  <c r="AP199" i="5" s="1"/>
  <c r="AB199" i="5" s="1"/>
  <c r="M199" i="5" s="1"/>
  <c r="AV248" i="5"/>
  <c r="AP248" i="5" s="1"/>
  <c r="AW282" i="5"/>
  <c r="AQ282" i="5" s="1"/>
  <c r="AW287" i="5"/>
  <c r="AW258" i="5"/>
  <c r="AQ258" i="5" s="1"/>
  <c r="AW227" i="5"/>
  <c r="AQ227" i="5" s="1"/>
  <c r="AJ227" i="5" s="1"/>
  <c r="AW279" i="5"/>
  <c r="AQ279" i="5" s="1"/>
  <c r="AJ279" i="5" s="1"/>
  <c r="AW274" i="5"/>
  <c r="AQ274" i="5" s="1"/>
  <c r="AJ274" i="5" s="1"/>
  <c r="AW252" i="5"/>
  <c r="AQ252" i="5" s="1"/>
  <c r="AW251" i="5"/>
  <c r="AQ251" i="5" s="1"/>
  <c r="AW224" i="5"/>
  <c r="AQ224" i="5" s="1"/>
  <c r="AW210" i="5"/>
  <c r="AW292" i="5"/>
  <c r="AV249" i="5"/>
  <c r="AP249" i="5" s="1"/>
  <c r="AV197" i="5"/>
  <c r="AP197" i="5" s="1"/>
  <c r="AV241" i="5"/>
  <c r="AP241" i="5" s="1"/>
  <c r="AV230" i="5"/>
  <c r="AP230" i="5" s="1"/>
  <c r="AV222" i="5"/>
  <c r="AP222" i="5" s="1"/>
  <c r="AV287" i="5"/>
  <c r="AP287" i="5" s="1"/>
  <c r="AV206" i="5"/>
  <c r="AP206" i="5" s="1"/>
  <c r="AW241" i="5"/>
  <c r="AQ241" i="5" s="1"/>
  <c r="AW245" i="5"/>
  <c r="AW221" i="5"/>
  <c r="AQ221" i="5" s="1"/>
  <c r="AW249" i="5"/>
  <c r="AQ249" i="5" s="1"/>
  <c r="AW236" i="5"/>
  <c r="AQ236" i="5" s="1"/>
  <c r="AW242" i="5"/>
  <c r="AQ242" i="5" s="1"/>
  <c r="AC242" i="5" s="1"/>
  <c r="AW237" i="5"/>
  <c r="AQ237" i="5" s="1"/>
  <c r="AW191" i="5"/>
  <c r="AW229" i="5"/>
  <c r="AQ229" i="5" s="1"/>
  <c r="AW264" i="5"/>
  <c r="AQ264" i="5" s="1"/>
  <c r="AJ264" i="5" s="1"/>
  <c r="AW239" i="5"/>
  <c r="AQ239" i="5" s="1"/>
  <c r="AW275" i="5"/>
  <c r="AQ275" i="5" s="1"/>
  <c r="AW218" i="5"/>
  <c r="AQ218" i="5" s="1"/>
  <c r="AV266" i="5"/>
  <c r="AP266" i="5" s="1"/>
  <c r="AV272" i="5"/>
  <c r="AP272" i="5" s="1"/>
  <c r="AV228" i="5"/>
  <c r="AP228" i="5" s="1"/>
  <c r="AV252" i="5"/>
  <c r="AP252" i="5" s="1"/>
  <c r="AV196" i="5"/>
  <c r="AV202" i="5"/>
  <c r="AW230" i="5"/>
  <c r="AQ230" i="5" s="1"/>
  <c r="AW207" i="5"/>
  <c r="AQ207" i="5" s="1"/>
  <c r="AW205" i="5"/>
  <c r="AQ205" i="5" s="1"/>
  <c r="AJ205" i="5" s="1"/>
  <c r="AW235" i="5"/>
  <c r="AQ235" i="5" s="1"/>
  <c r="AW222" i="5"/>
  <c r="AQ222" i="5" s="1"/>
  <c r="AJ222" i="5" s="1"/>
  <c r="AW278" i="5"/>
  <c r="AW253" i="5"/>
  <c r="AQ253" i="5" s="1"/>
  <c r="AW214" i="5"/>
  <c r="AQ214" i="5" s="1"/>
  <c r="AW256" i="5"/>
  <c r="AQ256" i="5" s="1"/>
  <c r="AW273" i="5"/>
  <c r="AQ273" i="5" s="1"/>
  <c r="AW232" i="5"/>
  <c r="AQ232" i="5" s="1"/>
  <c r="AW283" i="5"/>
  <c r="AQ283" i="5" s="1"/>
  <c r="AC283" i="5" s="1"/>
  <c r="AV271" i="5"/>
  <c r="AV289" i="5"/>
  <c r="AP289" i="5" s="1"/>
  <c r="AV208" i="5"/>
  <c r="AP208" i="5" s="1"/>
  <c r="AV203" i="5"/>
  <c r="AP203" i="5" s="1"/>
  <c r="AV263" i="5"/>
  <c r="AP263" i="5" s="1"/>
  <c r="AV231" i="5"/>
  <c r="AP231" i="5" s="1"/>
  <c r="AW246" i="5"/>
  <c r="AQ246" i="5" s="1"/>
  <c r="AW234" i="5"/>
  <c r="AQ234" i="5" s="1"/>
  <c r="AJ234" i="5" s="1"/>
  <c r="AW226" i="5"/>
  <c r="AQ226" i="5" s="1"/>
  <c r="AW225" i="5"/>
  <c r="AQ225" i="5" s="1"/>
  <c r="AC225" i="5" s="1"/>
  <c r="AW288" i="5"/>
  <c r="AW200" i="5"/>
  <c r="AQ200" i="5" s="1"/>
  <c r="AW201" i="5"/>
  <c r="AQ201" i="5" s="1"/>
  <c r="AC201" i="5" s="1"/>
  <c r="N201" i="5" s="1"/>
  <c r="AW228" i="5"/>
  <c r="AQ228" i="5" s="1"/>
  <c r="AW268" i="5"/>
  <c r="AQ268" i="5" s="1"/>
  <c r="AW263" i="5"/>
  <c r="AQ263" i="5" s="1"/>
  <c r="AW255" i="5"/>
  <c r="AQ255" i="5" s="1"/>
  <c r="AW204" i="5"/>
  <c r="AQ204" i="5" s="1"/>
  <c r="AW196" i="5"/>
  <c r="AQ196" i="5" s="1"/>
  <c r="AV194" i="5"/>
  <c r="AP194" i="5" s="1"/>
  <c r="AV215" i="5"/>
  <c r="AP215" i="5" s="1"/>
  <c r="AV284" i="5"/>
  <c r="AP284" i="5" s="1"/>
  <c r="AI284" i="5" s="1"/>
  <c r="AV195" i="5"/>
  <c r="AP195" i="5" s="1"/>
  <c r="AV280" i="5"/>
  <c r="AV198" i="5"/>
  <c r="AP198" i="5" s="1"/>
  <c r="AW291" i="5"/>
  <c r="AQ291" i="5" s="1"/>
  <c r="AC291" i="5" s="1"/>
  <c r="AW286" i="5"/>
  <c r="AQ286" i="5" s="1"/>
  <c r="AV269" i="5"/>
  <c r="AP269" i="5" s="1"/>
  <c r="AV221" i="5"/>
  <c r="AP221" i="5" s="1"/>
  <c r="AV232" i="5"/>
  <c r="AP232" i="5" s="1"/>
  <c r="AV262" i="5"/>
  <c r="AP262" i="5" s="1"/>
  <c r="AV247" i="5"/>
  <c r="AP247" i="5" s="1"/>
  <c r="AB247" i="5" s="1"/>
  <c r="AV292" i="5"/>
  <c r="AV283" i="5"/>
  <c r="AP283" i="5" s="1"/>
  <c r="AB283" i="5" s="1"/>
  <c r="AV220" i="5"/>
  <c r="AP220" i="5" s="1"/>
  <c r="AB220" i="5" s="1"/>
  <c r="AV223" i="5"/>
  <c r="AP223" i="5" s="1"/>
  <c r="AV239" i="5"/>
  <c r="AP239" i="5" s="1"/>
  <c r="AV245" i="5"/>
  <c r="AP245" i="5" s="1"/>
  <c r="AI245" i="5" s="1"/>
  <c r="AV193" i="5"/>
  <c r="AP193" i="5" s="1"/>
  <c r="AV288" i="5"/>
  <c r="AP288" i="5" s="1"/>
  <c r="AV285" i="5"/>
  <c r="AP285" i="5" s="1"/>
  <c r="AV279" i="5"/>
  <c r="AP279" i="5" s="1"/>
  <c r="AV258" i="5"/>
  <c r="AP258" i="5" s="1"/>
  <c r="AV219" i="5"/>
  <c r="AP219" i="5" s="1"/>
  <c r="AV235" i="5"/>
  <c r="AP235" i="5" s="1"/>
  <c r="AB235" i="5" s="1"/>
  <c r="AV207" i="5"/>
  <c r="AP207" i="5" s="1"/>
  <c r="AV204" i="5"/>
  <c r="AP204" i="5" s="1"/>
  <c r="AV273" i="5"/>
  <c r="AP273" i="5" s="1"/>
  <c r="AV255" i="5"/>
  <c r="AP255" i="5" s="1"/>
  <c r="AV200" i="5"/>
  <c r="AP200" i="5" s="1"/>
  <c r="AV251" i="5"/>
  <c r="AV267" i="5"/>
  <c r="AP267" i="5" s="1"/>
  <c r="AW195" i="5"/>
  <c r="AQ195" i="5" s="1"/>
  <c r="AV191" i="5"/>
  <c r="AP191" i="5" s="1"/>
  <c r="AV237" i="5"/>
  <c r="AP237" i="5" s="1"/>
  <c r="AV281" i="5"/>
  <c r="AP281" i="5" s="1"/>
  <c r="AV278" i="5"/>
  <c r="AP278" i="5" s="1"/>
  <c r="AV286" i="5"/>
  <c r="AV275" i="5"/>
  <c r="AV229" i="5"/>
  <c r="AP229" i="5" s="1"/>
  <c r="AV264" i="5"/>
  <c r="AP264" i="5" s="1"/>
  <c r="AV210" i="5"/>
  <c r="AP210" i="5" s="1"/>
  <c r="AV277" i="5"/>
  <c r="AP277" i="5" s="1"/>
  <c r="AV212" i="5"/>
  <c r="AP212" i="5" s="1"/>
  <c r="AV224" i="5"/>
  <c r="AP224" i="5" s="1"/>
  <c r="AV276" i="5"/>
  <c r="AP276" i="5" s="1"/>
  <c r="AV213" i="5"/>
  <c r="AV291" i="5"/>
  <c r="AP291" i="5" s="1"/>
  <c r="AV253" i="5"/>
  <c r="AP253" i="5" s="1"/>
  <c r="AV290" i="5"/>
  <c r="AP290" i="5" s="1"/>
  <c r="AV261" i="5"/>
  <c r="AP261" i="5" s="1"/>
  <c r="AV244" i="5"/>
  <c r="AP244" i="5" s="1"/>
  <c r="AV234" i="5"/>
  <c r="AP234" i="5" s="1"/>
  <c r="AI234" i="5" s="1"/>
  <c r="AV209" i="5"/>
  <c r="AP209" i="5" s="1"/>
  <c r="AV265" i="5"/>
  <c r="AP265" i="5" s="1"/>
  <c r="AV227" i="5"/>
  <c r="AV201" i="5"/>
  <c r="AP201" i="5" s="1"/>
  <c r="AB201" i="5" s="1"/>
  <c r="M201" i="5" s="1"/>
  <c r="AV260" i="5"/>
  <c r="AP260" i="5" s="1"/>
  <c r="AB260" i="5" s="1"/>
  <c r="AM188" i="5"/>
  <c r="C249" i="5"/>
  <c r="AE249" i="5" s="1"/>
  <c r="E247" i="5"/>
  <c r="E265" i="5"/>
  <c r="E283" i="5"/>
  <c r="AL86" i="5"/>
  <c r="C231" i="5"/>
  <c r="C257" i="5"/>
  <c r="AE257" i="5" s="1"/>
  <c r="E291" i="5"/>
  <c r="C263" i="5"/>
  <c r="E258" i="5"/>
  <c r="E223" i="5"/>
  <c r="E201" i="5"/>
  <c r="AL201" i="5" s="1"/>
  <c r="Y201" i="5" s="1"/>
  <c r="E218" i="5"/>
  <c r="C250" i="5"/>
  <c r="E192" i="5"/>
  <c r="AL192" i="5" s="1"/>
  <c r="Y192" i="5" s="1"/>
  <c r="AE254" i="5"/>
  <c r="C259" i="5"/>
  <c r="C234" i="5"/>
  <c r="AE234" i="5" s="1"/>
  <c r="C286" i="5"/>
  <c r="E225" i="5"/>
  <c r="C268" i="5"/>
  <c r="C270" i="5"/>
  <c r="AE270" i="5" s="1"/>
  <c r="C244" i="5"/>
  <c r="AE244" i="5" s="1"/>
  <c r="AN191" i="5"/>
  <c r="C290" i="5"/>
  <c r="E242" i="5"/>
  <c r="E277" i="5"/>
  <c r="E215" i="5"/>
  <c r="E204" i="5"/>
  <c r="E280" i="5"/>
  <c r="C279" i="5"/>
  <c r="E191" i="5"/>
  <c r="C243" i="5"/>
  <c r="C202" i="5"/>
  <c r="E198" i="5"/>
  <c r="AL198" i="5" s="1"/>
  <c r="Y198" i="5" s="1"/>
  <c r="E237" i="5"/>
  <c r="E241" i="5"/>
  <c r="C275" i="5"/>
  <c r="AE275" i="5" s="1"/>
  <c r="C206" i="5"/>
  <c r="C245" i="5"/>
  <c r="E235" i="5"/>
  <c r="C264" i="5"/>
  <c r="E193" i="5"/>
  <c r="C211" i="5"/>
  <c r="C205" i="5"/>
  <c r="C210" i="5"/>
  <c r="C228" i="5"/>
  <c r="E214" i="5"/>
  <c r="C194" i="5"/>
  <c r="E194" i="5"/>
  <c r="C253" i="5"/>
  <c r="C227" i="5"/>
  <c r="C284" i="5"/>
  <c r="E226" i="5"/>
  <c r="C273" i="5"/>
  <c r="E273" i="5"/>
  <c r="E288" i="5"/>
  <c r="E269" i="5"/>
  <c r="E230" i="5"/>
  <c r="C251" i="5"/>
  <c r="C216" i="5"/>
  <c r="E287" i="5"/>
  <c r="C287" i="5"/>
  <c r="E195" i="5"/>
  <c r="AL195" i="5" s="1"/>
  <c r="Y195" i="5" s="1"/>
  <c r="C195" i="5"/>
  <c r="AE195" i="5" s="1"/>
  <c r="P195" i="5" s="1"/>
  <c r="C222" i="5"/>
  <c r="E254" i="5"/>
  <c r="AL254" i="5" s="1"/>
  <c r="E289" i="5"/>
  <c r="C229" i="5"/>
  <c r="E255" i="5"/>
  <c r="C274" i="5"/>
  <c r="C203" i="5"/>
  <c r="E203" i="5"/>
  <c r="AS270" i="5"/>
  <c r="N67" i="5"/>
  <c r="AQ247" i="5"/>
  <c r="AC247" i="5" s="1"/>
  <c r="AT286" i="5"/>
  <c r="AS262" i="5"/>
  <c r="AS282" i="5"/>
  <c r="AQ277" i="5"/>
  <c r="AC277" i="5" s="1"/>
  <c r="AR244" i="5"/>
  <c r="AK244" i="5" s="1"/>
  <c r="B217" i="5"/>
  <c r="AQ288" i="5"/>
  <c r="AT288" i="5"/>
  <c r="AE288" i="5" s="1"/>
  <c r="AR254" i="5"/>
  <c r="AD254" i="5" s="1"/>
  <c r="AQ193" i="5"/>
  <c r="AC193" i="5" s="1"/>
  <c r="N193" i="5" s="1"/>
  <c r="AQ244" i="5"/>
  <c r="AL249" i="5"/>
  <c r="AR274" i="5"/>
  <c r="AK274" i="5" s="1"/>
  <c r="AS249" i="5"/>
  <c r="AS201" i="5"/>
  <c r="AF202" i="5"/>
  <c r="B259" i="5"/>
  <c r="AF284" i="5"/>
  <c r="AL84" i="5"/>
  <c r="AS198" i="5"/>
  <c r="AL85" i="5"/>
  <c r="C278" i="5"/>
  <c r="E220" i="5"/>
  <c r="B284" i="5"/>
  <c r="B236" i="5"/>
  <c r="AF228" i="5"/>
  <c r="AP236" i="5"/>
  <c r="AT193" i="5"/>
  <c r="AE193" i="5" s="1"/>
  <c r="P193" i="5" s="1"/>
  <c r="AR262" i="5"/>
  <c r="AM86" i="5"/>
  <c r="O67" i="5"/>
  <c r="K67" i="5"/>
  <c r="C55" i="7"/>
  <c r="AP254" i="5"/>
  <c r="E272" i="5"/>
  <c r="E233" i="5"/>
  <c r="AQ208" i="5"/>
  <c r="AQ206" i="5"/>
  <c r="AJ206" i="5" s="1"/>
  <c r="AQ262" i="5"/>
  <c r="AP205" i="5"/>
  <c r="AI205" i="5" s="1"/>
  <c r="AT247" i="5"/>
  <c r="AS196" i="5"/>
  <c r="AR219" i="5"/>
  <c r="AR229" i="5"/>
  <c r="AK229" i="5" s="1"/>
  <c r="AR249" i="5"/>
  <c r="AK249" i="5" s="1"/>
  <c r="E260" i="5"/>
  <c r="C196" i="5"/>
  <c r="AE196" i="5" s="1"/>
  <c r="P196" i="5" s="1"/>
  <c r="AP251" i="5"/>
  <c r="AT219" i="5"/>
  <c r="C267" i="5"/>
  <c r="E262" i="5"/>
  <c r="AL262" i="5" s="1"/>
  <c r="C262" i="5"/>
  <c r="E281" i="5"/>
  <c r="C281" i="5"/>
  <c r="E276" i="5"/>
  <c r="C276" i="5"/>
  <c r="C219" i="5"/>
  <c r="E219" i="5"/>
  <c r="E271" i="5"/>
  <c r="C271" i="5"/>
  <c r="E256" i="5"/>
  <c r="C256" i="5"/>
  <c r="AQ284" i="5"/>
  <c r="AT215" i="5"/>
  <c r="AT258" i="5"/>
  <c r="AE258" i="5" s="1"/>
  <c r="C208" i="5"/>
  <c r="E208" i="5"/>
  <c r="C209" i="5"/>
  <c r="E209" i="5"/>
  <c r="C224" i="5"/>
  <c r="E224" i="5"/>
  <c r="AT281" i="5"/>
  <c r="AS192" i="5"/>
  <c r="E197" i="5"/>
  <c r="C197" i="5"/>
  <c r="C200" i="5"/>
  <c r="E200" i="5"/>
  <c r="E236" i="5"/>
  <c r="C236" i="5"/>
  <c r="AR220" i="5"/>
  <c r="AD220" i="5" s="1"/>
  <c r="E240" i="5"/>
  <c r="C240" i="5"/>
  <c r="E238" i="5"/>
  <c r="C238" i="5"/>
  <c r="E248" i="5"/>
  <c r="C248" i="5"/>
  <c r="C252" i="5"/>
  <c r="E252" i="5"/>
  <c r="C232" i="5"/>
  <c r="E232" i="5"/>
  <c r="C282" i="5"/>
  <c r="AE282" i="5" s="1"/>
  <c r="E282" i="5"/>
  <c r="AL282" i="5" s="1"/>
  <c r="AT284" i="5"/>
  <c r="AL284" i="5" s="1"/>
  <c r="E213" i="5"/>
  <c r="C213" i="5"/>
  <c r="E221" i="5"/>
  <c r="C221" i="5"/>
  <c r="C217" i="5"/>
  <c r="E217" i="5"/>
  <c r="C285" i="5"/>
  <c r="E285" i="5"/>
  <c r="C246" i="5"/>
  <c r="E246" i="5"/>
  <c r="C212" i="5"/>
  <c r="E212" i="5"/>
  <c r="AT263" i="5"/>
  <c r="E239" i="5"/>
  <c r="C239" i="5"/>
  <c r="E266" i="5"/>
  <c r="C266" i="5"/>
  <c r="C207" i="5"/>
  <c r="E207" i="5"/>
  <c r="AQ203" i="5"/>
  <c r="AR199" i="5"/>
  <c r="AD199" i="5" s="1"/>
  <c r="O199" i="5" s="1"/>
  <c r="AP280" i="5"/>
  <c r="AS199" i="5"/>
  <c r="AS275" i="5"/>
  <c r="AR257" i="5"/>
  <c r="AQ278" i="5"/>
  <c r="AJ278" i="5" s="1"/>
  <c r="AQ280" i="5"/>
  <c r="AC280" i="5" s="1"/>
  <c r="AR275" i="5"/>
  <c r="AR282" i="5"/>
  <c r="AP275" i="5"/>
  <c r="AI275" i="5" s="1"/>
  <c r="C261" i="5"/>
  <c r="E261" i="5"/>
  <c r="AR242" i="5"/>
  <c r="AR283" i="5"/>
  <c r="AD283" i="5" s="1"/>
  <c r="AR197" i="5"/>
  <c r="B288" i="5"/>
  <c r="AQ231" i="5"/>
  <c r="AF246" i="5"/>
  <c r="AS244" i="5"/>
  <c r="B213" i="5"/>
  <c r="AF290" i="5"/>
  <c r="AT211" i="5"/>
  <c r="AL211" i="5" s="1"/>
  <c r="Y211" i="5" s="1"/>
  <c r="AR261" i="5"/>
  <c r="AR201" i="5"/>
  <c r="AR286" i="5"/>
  <c r="AK286" i="5" s="1"/>
  <c r="AR263" i="5"/>
  <c r="AK263" i="5" s="1"/>
  <c r="AR240" i="5"/>
  <c r="AP270" i="5"/>
  <c r="AI270" i="5" s="1"/>
  <c r="B199" i="5"/>
  <c r="B210" i="5"/>
  <c r="AQ285" i="5"/>
  <c r="AC285" i="5" s="1"/>
  <c r="AF253" i="5"/>
  <c r="B266" i="5"/>
  <c r="B233" i="5"/>
  <c r="B200" i="5"/>
  <c r="AF249" i="5"/>
  <c r="AT231" i="5"/>
  <c r="AL231" i="5" s="1"/>
  <c r="AQ265" i="5"/>
  <c r="AQ260" i="5"/>
  <c r="AR280" i="5"/>
  <c r="AD280" i="5" s="1"/>
  <c r="AR246" i="5"/>
  <c r="AR260" i="5"/>
  <c r="AD260" i="5" s="1"/>
  <c r="AR198" i="5"/>
  <c r="AD198" i="5" s="1"/>
  <c r="O198" i="5" s="1"/>
  <c r="AR270" i="5"/>
  <c r="AP268" i="5"/>
  <c r="AI268" i="5" s="1"/>
  <c r="AT235" i="5"/>
  <c r="AE235" i="5" s="1"/>
  <c r="AQ223" i="5"/>
  <c r="AC223" i="5" s="1"/>
  <c r="AT260" i="5"/>
  <c r="AR267" i="5"/>
  <c r="AK267" i="5" s="1"/>
  <c r="AQ212" i="5"/>
  <c r="AQ213" i="5"/>
  <c r="AQ259" i="5"/>
  <c r="AT267" i="5"/>
  <c r="AL267" i="5" s="1"/>
  <c r="AQ257" i="5"/>
  <c r="AJ257" i="5" s="1"/>
  <c r="AQ233" i="5"/>
  <c r="AR215" i="5"/>
  <c r="AQ198" i="5"/>
  <c r="AC198" i="5" s="1"/>
  <c r="N198" i="5" s="1"/>
  <c r="AR247" i="5"/>
  <c r="AD247" i="5" s="1"/>
  <c r="AR279" i="5"/>
  <c r="AR211" i="5"/>
  <c r="AR192" i="5"/>
  <c r="AD192" i="5" s="1"/>
  <c r="O192" i="5" s="1"/>
  <c r="AR269" i="5"/>
  <c r="AQ267" i="5"/>
  <c r="AQ211" i="5"/>
  <c r="AJ211" i="5" s="1"/>
  <c r="AS234" i="5"/>
  <c r="AR234" i="5"/>
  <c r="AR227" i="5"/>
  <c r="AK227" i="5" s="1"/>
  <c r="AQ192" i="5"/>
  <c r="AR258" i="5"/>
  <c r="AR268" i="5"/>
  <c r="AK268" i="5" s="1"/>
  <c r="AM84" i="5"/>
  <c r="AP240" i="5"/>
  <c r="AR235" i="5"/>
  <c r="AD235" i="5" s="1"/>
  <c r="AR288" i="5"/>
  <c r="AD288" i="5" s="1"/>
  <c r="AR193" i="5"/>
  <c r="AD193" i="5" s="1"/>
  <c r="O193" i="5" s="1"/>
  <c r="AR196" i="5"/>
  <c r="AR284" i="5"/>
  <c r="AK284" i="5" s="1"/>
  <c r="AQ269" i="5"/>
  <c r="AQ219" i="5"/>
  <c r="AQ197" i="5"/>
  <c r="AL234" i="5"/>
  <c r="AQ281" i="5"/>
  <c r="AJ281" i="5" s="1"/>
  <c r="AT197" i="5"/>
  <c r="AQ254" i="5"/>
  <c r="AQ215" i="5"/>
  <c r="AC215" i="5" s="1"/>
  <c r="N215" i="5" s="1"/>
  <c r="AS254" i="5"/>
  <c r="AT268" i="5"/>
  <c r="AL268" i="5" s="1"/>
  <c r="AP196" i="5"/>
  <c r="AI196" i="5" s="1"/>
  <c r="AP211" i="5"/>
  <c r="AI211" i="5" s="1"/>
  <c r="AS220" i="5"/>
  <c r="AT220" i="5"/>
  <c r="AR243" i="5"/>
  <c r="AM85" i="5"/>
  <c r="AS229" i="5"/>
  <c r="AT229" i="5"/>
  <c r="AL229" i="5" s="1"/>
  <c r="AP227" i="5"/>
  <c r="AR231" i="5"/>
  <c r="AK231" i="5" s="1"/>
  <c r="AQ276" i="5"/>
  <c r="AF252" i="5"/>
  <c r="AQ243" i="5"/>
  <c r="AJ243" i="5" s="1"/>
  <c r="AP226" i="5"/>
  <c r="AT226" i="5"/>
  <c r="AR226" i="5"/>
  <c r="AS252" i="5"/>
  <c r="AT252" i="5"/>
  <c r="AR218" i="5"/>
  <c r="AT218" i="5"/>
  <c r="AS218" i="5"/>
  <c r="AS287" i="5"/>
  <c r="AT287" i="5"/>
  <c r="AQ266" i="5"/>
  <c r="B281" i="5"/>
  <c r="AR276" i="5"/>
  <c r="AS257" i="5"/>
  <c r="AS203" i="5"/>
  <c r="AT203" i="5"/>
  <c r="AR203" i="5"/>
  <c r="AT204" i="5"/>
  <c r="AS204" i="5"/>
  <c r="AR204" i="5"/>
  <c r="AS233" i="5"/>
  <c r="AR233" i="5"/>
  <c r="AT233" i="5"/>
  <c r="AS202" i="5"/>
  <c r="AT202" i="5"/>
  <c r="AP202" i="5"/>
  <c r="AS210" i="5"/>
  <c r="AT210" i="5"/>
  <c r="AR210" i="5"/>
  <c r="AT259" i="5"/>
  <c r="AS259" i="5"/>
  <c r="AR259" i="5"/>
  <c r="AT238" i="5"/>
  <c r="AS238" i="5"/>
  <c r="AR238" i="5"/>
  <c r="AP238" i="5"/>
  <c r="AR287" i="5"/>
  <c r="AQ289" i="5"/>
  <c r="AQ272" i="5"/>
  <c r="AQ217" i="5"/>
  <c r="AQ194" i="5"/>
  <c r="AQ245" i="5"/>
  <c r="AL270" i="5"/>
  <c r="AL196" i="5"/>
  <c r="Y196" i="5" s="1"/>
  <c r="AS276" i="5"/>
  <c r="AT276" i="5"/>
  <c r="AP271" i="5"/>
  <c r="AR266" i="5"/>
  <c r="AT266" i="5"/>
  <c r="AS266" i="5"/>
  <c r="AT291" i="5"/>
  <c r="AR291" i="5"/>
  <c r="AS291" i="5"/>
  <c r="AQ287" i="5"/>
  <c r="AP286" i="5"/>
  <c r="AT230" i="5"/>
  <c r="AS230" i="5"/>
  <c r="AR230" i="5"/>
  <c r="AR237" i="5"/>
  <c r="AS237" i="5"/>
  <c r="AT237" i="5"/>
  <c r="AS232" i="5"/>
  <c r="AT232" i="5"/>
  <c r="AR232" i="5"/>
  <c r="AS208" i="5"/>
  <c r="AT208" i="5"/>
  <c r="AR208" i="5"/>
  <c r="AR222" i="5"/>
  <c r="AT222" i="5"/>
  <c r="AS222" i="5"/>
  <c r="AR216" i="5"/>
  <c r="AT216" i="5"/>
  <c r="AP216" i="5"/>
  <c r="AS216" i="5"/>
  <c r="AR207" i="5"/>
  <c r="AT207" i="5"/>
  <c r="AS207" i="5"/>
  <c r="AT209" i="5"/>
  <c r="AR209" i="5"/>
  <c r="AS209" i="5"/>
  <c r="AE192" i="5"/>
  <c r="P192" i="5" s="1"/>
  <c r="AE201" i="5"/>
  <c r="P201" i="5" s="1"/>
  <c r="AL275" i="5"/>
  <c r="AF233" i="5"/>
  <c r="B205" i="5"/>
  <c r="B261" i="5"/>
  <c r="AR271" i="5"/>
  <c r="AS226" i="5"/>
  <c r="AT200" i="5"/>
  <c r="AS200" i="5"/>
  <c r="AR200" i="5"/>
  <c r="AR213" i="5"/>
  <c r="AT213" i="5"/>
  <c r="AS213" i="5"/>
  <c r="AP213" i="5"/>
  <c r="AR285" i="5"/>
  <c r="AS285" i="5"/>
  <c r="AT285" i="5"/>
  <c r="AS261" i="5"/>
  <c r="AT261" i="5"/>
  <c r="AS265" i="5"/>
  <c r="AT265" i="5"/>
  <c r="AS251" i="5"/>
  <c r="AR251" i="5"/>
  <c r="AT251" i="5"/>
  <c r="AS239" i="5"/>
  <c r="AT239" i="5"/>
  <c r="AR239" i="5"/>
  <c r="AR273" i="5"/>
  <c r="AS273" i="5"/>
  <c r="AT273" i="5"/>
  <c r="AE199" i="5"/>
  <c r="P199" i="5" s="1"/>
  <c r="AL199" i="5"/>
  <c r="Y199" i="5" s="1"/>
  <c r="AQ250" i="5"/>
  <c r="AQ261" i="5"/>
  <c r="AQ202" i="5"/>
  <c r="AP218" i="5"/>
  <c r="AR265" i="5"/>
  <c r="AT223" i="5"/>
  <c r="AS223" i="5"/>
  <c r="AR223" i="5"/>
  <c r="AS225" i="5"/>
  <c r="AR225" i="5"/>
  <c r="AT225" i="5"/>
  <c r="AR195" i="5"/>
  <c r="AT279" i="5"/>
  <c r="AS279" i="5"/>
  <c r="B282" i="5"/>
  <c r="B222" i="5"/>
  <c r="B275" i="5"/>
  <c r="AQ271" i="5"/>
  <c r="AQ290" i="5"/>
  <c r="AT236" i="5"/>
  <c r="AQ240" i="5"/>
  <c r="AT240" i="5"/>
  <c r="AP242" i="5"/>
  <c r="AT242" i="5"/>
  <c r="AS242" i="5"/>
  <c r="AS269" i="5"/>
  <c r="AT269" i="5"/>
  <c r="AT217" i="5"/>
  <c r="AS217" i="5"/>
  <c r="AP217" i="5"/>
  <c r="AS264" i="5"/>
  <c r="AT264" i="5"/>
  <c r="AT194" i="5"/>
  <c r="AS194" i="5"/>
  <c r="AR194" i="5"/>
  <c r="AR214" i="5"/>
  <c r="AS214" i="5"/>
  <c r="AT214" i="5"/>
  <c r="AR205" i="5"/>
  <c r="AS205" i="5"/>
  <c r="AT205" i="5"/>
  <c r="AR248" i="5"/>
  <c r="AT248" i="5"/>
  <c r="AS248" i="5"/>
  <c r="AR264" i="5"/>
  <c r="AR277" i="5"/>
  <c r="AR202" i="5"/>
  <c r="AQ248" i="5"/>
  <c r="AQ209" i="5"/>
  <c r="AL244" i="5"/>
  <c r="AS245" i="5"/>
  <c r="AT245" i="5"/>
  <c r="AR245" i="5"/>
  <c r="AR281" i="5"/>
  <c r="AS290" i="5"/>
  <c r="AR290" i="5"/>
  <c r="AT290" i="5"/>
  <c r="AT274" i="5"/>
  <c r="AS274" i="5"/>
  <c r="AF224" i="5"/>
  <c r="B253" i="5"/>
  <c r="O34" i="5"/>
  <c r="AT243" i="5"/>
  <c r="AS243" i="5"/>
  <c r="AR289" i="5"/>
  <c r="AT289" i="5"/>
  <c r="AT272" i="5"/>
  <c r="AS272" i="5"/>
  <c r="AR272" i="5"/>
  <c r="AT224" i="5"/>
  <c r="AR224" i="5"/>
  <c r="AS224" i="5"/>
  <c r="AR228" i="5"/>
  <c r="AT228" i="5"/>
  <c r="AS228" i="5"/>
  <c r="AR221" i="5"/>
  <c r="AT221" i="5"/>
  <c r="AS221" i="5"/>
  <c r="AT255" i="5"/>
  <c r="AS255" i="5"/>
  <c r="AR255" i="5"/>
  <c r="AT283" i="5"/>
  <c r="AS283" i="5"/>
  <c r="AS212" i="5"/>
  <c r="AT212" i="5"/>
  <c r="AR212" i="5"/>
  <c r="AR252" i="5"/>
  <c r="AQ210" i="5"/>
  <c r="AR250" i="5"/>
  <c r="AS250" i="5"/>
  <c r="AT250" i="5"/>
  <c r="AP250" i="5"/>
  <c r="AS191" i="5"/>
  <c r="AR191" i="5"/>
  <c r="AT191" i="5"/>
  <c r="AQ191" i="5"/>
  <c r="AR236" i="5"/>
  <c r="AS236" i="5"/>
  <c r="AR256" i="5"/>
  <c r="AS256" i="5"/>
  <c r="AT256" i="5"/>
  <c r="AS195" i="5"/>
  <c r="AT271" i="5"/>
  <c r="AT253" i="5"/>
  <c r="AS253" i="5"/>
  <c r="AS206" i="5"/>
  <c r="AT206" i="5"/>
  <c r="AR206" i="5"/>
  <c r="AS278" i="5"/>
  <c r="AT278" i="5"/>
  <c r="AR278" i="5"/>
  <c r="AT280" i="5"/>
  <c r="AS280" i="5"/>
  <c r="AS246" i="5"/>
  <c r="AT246" i="5"/>
  <c r="AT227" i="5"/>
  <c r="AS227" i="5"/>
  <c r="AT241" i="5"/>
  <c r="AS241" i="5"/>
  <c r="AR241" i="5"/>
  <c r="AT277" i="5"/>
  <c r="AS277" i="5"/>
  <c r="AR253" i="5"/>
  <c r="AE198" i="5"/>
  <c r="P198" i="5" s="1"/>
  <c r="AR217" i="5"/>
  <c r="AQ238" i="5"/>
  <c r="AQ216" i="5"/>
  <c r="AF270" i="5"/>
  <c r="AF242" i="5"/>
  <c r="AF260" i="5"/>
  <c r="AF206" i="5"/>
  <c r="B249" i="5"/>
  <c r="B197" i="5"/>
  <c r="AF247" i="5"/>
  <c r="B257" i="5"/>
  <c r="AF244" i="5"/>
  <c r="B250" i="5"/>
  <c r="AF218" i="5"/>
  <c r="AF283" i="5"/>
  <c r="B221" i="5"/>
  <c r="AF226" i="5"/>
  <c r="B260" i="5"/>
  <c r="AF240" i="5"/>
  <c r="AF205" i="5"/>
  <c r="AF267" i="5"/>
  <c r="AF230" i="5"/>
  <c r="B240" i="5"/>
  <c r="AF243" i="5"/>
  <c r="AF221" i="5"/>
  <c r="B279" i="5"/>
  <c r="B198" i="5"/>
  <c r="B208" i="5"/>
  <c r="B209" i="5"/>
  <c r="B238" i="5"/>
  <c r="AF213" i="5"/>
  <c r="AF194" i="5"/>
  <c r="B277" i="5"/>
  <c r="B229" i="5"/>
  <c r="AF238" i="5"/>
  <c r="B237" i="5"/>
  <c r="B191" i="5"/>
  <c r="B274" i="5"/>
  <c r="B267" i="5"/>
  <c r="AF266" i="5"/>
  <c r="B245" i="5"/>
  <c r="B246" i="5"/>
  <c r="AF197" i="5"/>
  <c r="B289" i="5"/>
  <c r="AF275" i="5"/>
  <c r="AF256" i="5"/>
  <c r="AF225" i="5"/>
  <c r="AF210" i="5"/>
  <c r="AF248" i="5"/>
  <c r="AF268" i="5"/>
  <c r="AF211" i="5"/>
  <c r="AF289" i="5"/>
  <c r="AF214" i="5"/>
  <c r="B247" i="5"/>
  <c r="AF232" i="5"/>
  <c r="AF261" i="5"/>
  <c r="B206" i="5"/>
  <c r="S69" i="5"/>
  <c r="H28" i="4"/>
  <c r="AF236" i="5"/>
  <c r="AF281" i="5"/>
  <c r="B227" i="5"/>
  <c r="B223" i="5"/>
  <c r="AF264" i="5"/>
  <c r="B244" i="5"/>
  <c r="B234" i="5"/>
  <c r="AF220" i="5"/>
  <c r="AF269" i="5"/>
  <c r="B224" i="5"/>
  <c r="B291" i="5"/>
  <c r="AF288" i="5"/>
  <c r="B243" i="5"/>
  <c r="B211" i="5"/>
  <c r="AF282" i="5"/>
  <c r="B242" i="5"/>
  <c r="AF251" i="5"/>
  <c r="AF234" i="5"/>
  <c r="B251" i="5"/>
  <c r="B271" i="5"/>
  <c r="AF278" i="5"/>
  <c r="AF262" i="5"/>
  <c r="AF259" i="5"/>
  <c r="B235" i="5"/>
  <c r="B193" i="5"/>
  <c r="AF199" i="5"/>
  <c r="B194" i="5"/>
  <c r="B218" i="5"/>
  <c r="AF231" i="5"/>
  <c r="B283" i="5"/>
  <c r="B230" i="5"/>
  <c r="B252" i="5"/>
  <c r="AF286" i="5"/>
  <c r="B225" i="5"/>
  <c r="B276" i="5"/>
  <c r="B270" i="5"/>
  <c r="AF276" i="5"/>
  <c r="B256" i="5"/>
  <c r="AF193" i="5"/>
  <c r="B248" i="5"/>
  <c r="B262" i="5"/>
  <c r="AF280" i="5"/>
  <c r="B285" i="5"/>
  <c r="AF254" i="5"/>
  <c r="AF265" i="5"/>
  <c r="B239" i="5"/>
  <c r="AF250" i="5"/>
  <c r="AF257" i="5"/>
  <c r="AF196" i="5"/>
  <c r="B265" i="5"/>
  <c r="AF209" i="5"/>
  <c r="B192" i="5"/>
  <c r="B273" i="5"/>
  <c r="AF219" i="5"/>
  <c r="AF291" i="5"/>
  <c r="AF235" i="5"/>
  <c r="B264" i="5"/>
  <c r="AF229" i="5"/>
  <c r="AF207" i="5"/>
  <c r="AF274" i="5"/>
  <c r="AF271" i="5"/>
  <c r="AF204" i="5"/>
  <c r="B215" i="5"/>
  <c r="AF216" i="5"/>
  <c r="B231" i="5"/>
  <c r="B269" i="5"/>
  <c r="L44" i="5"/>
  <c r="B258" i="5"/>
  <c r="AF198" i="5"/>
  <c r="B241" i="5"/>
  <c r="B219" i="5"/>
  <c r="AF245" i="5"/>
  <c r="AF195" i="5"/>
  <c r="B254" i="5"/>
  <c r="B272" i="5"/>
  <c r="B232" i="5"/>
  <c r="AF272" i="5"/>
  <c r="B203" i="5"/>
  <c r="AF191" i="5"/>
  <c r="B263" i="5"/>
  <c r="B201" i="5"/>
  <c r="B207" i="5"/>
  <c r="AF222" i="5"/>
  <c r="AF273" i="5"/>
  <c r="B216" i="5"/>
  <c r="AF208" i="5"/>
  <c r="AF287" i="5"/>
  <c r="B287" i="5"/>
  <c r="AF277" i="5"/>
  <c r="AF203" i="5"/>
  <c r="B228" i="5"/>
  <c r="B196" i="5"/>
  <c r="AF192" i="5"/>
  <c r="B214" i="5"/>
  <c r="B255" i="5"/>
  <c r="AF223" i="5"/>
  <c r="AF239" i="5"/>
  <c r="AF212" i="5"/>
  <c r="B202" i="5"/>
  <c r="AF215" i="5"/>
  <c r="AF255" i="5"/>
  <c r="B278" i="5"/>
  <c r="B220" i="5"/>
  <c r="B290" i="5"/>
  <c r="B204" i="5"/>
  <c r="B226" i="5"/>
  <c r="AF285" i="5"/>
  <c r="AF217" i="5"/>
  <c r="B195" i="5"/>
  <c r="AF279" i="5"/>
  <c r="B286" i="5"/>
  <c r="AF200" i="5"/>
  <c r="AF201" i="5"/>
  <c r="B212" i="5"/>
  <c r="AF258" i="5"/>
  <c r="AF237" i="5"/>
  <c r="B268" i="5"/>
  <c r="B280" i="5"/>
  <c r="AF241" i="5"/>
  <c r="AF263" i="5"/>
  <c r="AL257" i="5"/>
  <c r="AB200" i="5" l="1"/>
  <c r="M200" i="5" s="1"/>
  <c r="AK258" i="5"/>
  <c r="AC259" i="5"/>
  <c r="AC266" i="5"/>
  <c r="AJ226" i="5"/>
  <c r="AN192" i="5"/>
  <c r="AO192" i="5" s="1"/>
  <c r="AC275" i="5"/>
  <c r="AJ265" i="5"/>
  <c r="AB219" i="5"/>
  <c r="AC249" i="5"/>
  <c r="AD271" i="5"/>
  <c r="AI219" i="5"/>
  <c r="AJ247" i="5"/>
  <c r="AB249" i="5"/>
  <c r="V205" i="5"/>
  <c r="V211" i="5"/>
  <c r="V196" i="5"/>
  <c r="AJ218" i="5"/>
  <c r="AI265" i="5"/>
  <c r="AL247" i="5"/>
  <c r="AD244" i="5"/>
  <c r="AB245" i="5"/>
  <c r="AC227" i="5"/>
  <c r="AD211" i="5"/>
  <c r="O211" i="5" s="1"/>
  <c r="AC231" i="5"/>
  <c r="AC290" i="5"/>
  <c r="AB229" i="5"/>
  <c r="AI241" i="5"/>
  <c r="AC195" i="5"/>
  <c r="N195" i="5" s="1"/>
  <c r="AB251" i="5"/>
  <c r="AK195" i="5"/>
  <c r="X195" i="5" s="1"/>
  <c r="AC270" i="5"/>
  <c r="AD270" i="5"/>
  <c r="AD275" i="5"/>
  <c r="AJ212" i="5"/>
  <c r="W212" i="5" s="1"/>
  <c r="AB263" i="5"/>
  <c r="AC263" i="5"/>
  <c r="N74" i="5"/>
  <c r="AD243" i="5"/>
  <c r="AE263" i="5"/>
  <c r="AC268" i="5"/>
  <c r="AB240" i="5"/>
  <c r="AK201" i="5"/>
  <c r="X201" i="5" s="1"/>
  <c r="N78" i="5"/>
  <c r="AC197" i="5"/>
  <c r="N197" i="5" s="1"/>
  <c r="AL260" i="5"/>
  <c r="AJ232" i="5"/>
  <c r="AD197" i="5"/>
  <c r="O197" i="5" s="1"/>
  <c r="AD257" i="5"/>
  <c r="AI193" i="5"/>
  <c r="V193" i="5" s="1"/>
  <c r="AD196" i="5"/>
  <c r="O196" i="5" s="1"/>
  <c r="AI215" i="5"/>
  <c r="V215" i="5" s="1"/>
  <c r="AC271" i="5"/>
  <c r="AJ237" i="5"/>
  <c r="AL215" i="5"/>
  <c r="Y215" i="5" s="1"/>
  <c r="N71" i="5"/>
  <c r="AJ254" i="5"/>
  <c r="AB231" i="5"/>
  <c r="AC253" i="5"/>
  <c r="AI198" i="5"/>
  <c r="V198" i="5" s="1"/>
  <c r="AJ191" i="5"/>
  <c r="AB195" i="5"/>
  <c r="M195" i="5" s="1"/>
  <c r="AJ214" i="5"/>
  <c r="W214" i="5" s="1"/>
  <c r="AJ235" i="5"/>
  <c r="AK242" i="5"/>
  <c r="AJ242" i="5"/>
  <c r="AD234" i="5"/>
  <c r="AB234" i="5"/>
  <c r="AO191" i="5"/>
  <c r="AI258" i="5"/>
  <c r="AC203" i="5"/>
  <c r="N203" i="5" s="1"/>
  <c r="AJ258" i="5"/>
  <c r="AE286" i="5"/>
  <c r="N77" i="5"/>
  <c r="AC228" i="5"/>
  <c r="AB259" i="5"/>
  <c r="N75" i="5"/>
  <c r="AD279" i="5"/>
  <c r="AI254" i="5"/>
  <c r="AC244" i="5"/>
  <c r="AC273" i="5"/>
  <c r="AB244" i="5"/>
  <c r="N80" i="5"/>
  <c r="K39" i="4" s="1"/>
  <c r="AC287" i="5"/>
  <c r="AC221" i="5"/>
  <c r="AJ192" i="5"/>
  <c r="W192" i="5" s="1"/>
  <c r="AI192" i="5"/>
  <c r="V192" i="5" s="1"/>
  <c r="AI204" i="5"/>
  <c r="V204" i="5" s="1"/>
  <c r="AI280" i="5"/>
  <c r="AB284" i="5"/>
  <c r="AC284" i="5"/>
  <c r="AI288" i="5"/>
  <c r="AI255" i="5"/>
  <c r="AC276" i="5"/>
  <c r="AJ269" i="5"/>
  <c r="AK269" i="5"/>
  <c r="AD240" i="5"/>
  <c r="AL281" i="5"/>
  <c r="AB227" i="5"/>
  <c r="AJ200" i="5"/>
  <c r="W200" i="5" s="1"/>
  <c r="AJ288" i="5"/>
  <c r="AL271" i="5"/>
  <c r="AI197" i="5"/>
  <c r="V197" i="5" s="1"/>
  <c r="AI282" i="5"/>
  <c r="AJ260" i="5"/>
  <c r="AL286" i="5"/>
  <c r="AL288" i="5"/>
  <c r="AC267" i="5"/>
  <c r="AJ220" i="5"/>
  <c r="AB267" i="5"/>
  <c r="AE236" i="5"/>
  <c r="AL219" i="5"/>
  <c r="AK262" i="5"/>
  <c r="AC246" i="5"/>
  <c r="AJ208" i="5"/>
  <c r="W208" i="5" s="1"/>
  <c r="AC196" i="5"/>
  <c r="N196" i="5" s="1"/>
  <c r="AJ282" i="5"/>
  <c r="AK219" i="5"/>
  <c r="AJ262" i="5"/>
  <c r="AJ207" i="5"/>
  <c r="W207" i="5" s="1"/>
  <c r="AJ246" i="5"/>
  <c r="AD249" i="5"/>
  <c r="AJ277" i="5"/>
  <c r="AJ196" i="5"/>
  <c r="W196" i="5" s="1"/>
  <c r="AC288" i="5"/>
  <c r="AB205" i="5"/>
  <c r="M205" i="5" s="1"/>
  <c r="AC207" i="5"/>
  <c r="N207" i="5" s="1"/>
  <c r="AE231" i="5"/>
  <c r="AC206" i="5"/>
  <c r="N206" i="5" s="1"/>
  <c r="AK254" i="5"/>
  <c r="AJ193" i="5"/>
  <c r="W193" i="5" s="1"/>
  <c r="AC208" i="5"/>
  <c r="N208" i="5" s="1"/>
  <c r="AJ244" i="5"/>
  <c r="AK275" i="5"/>
  <c r="AK196" i="5"/>
  <c r="X196" i="5" s="1"/>
  <c r="AC220" i="5"/>
  <c r="AB215" i="5"/>
  <c r="M215" i="5" s="1"/>
  <c r="AB236" i="5"/>
  <c r="AC282" i="5"/>
  <c r="AB258" i="5"/>
  <c r="AB254" i="5"/>
  <c r="AC265" i="5"/>
  <c r="AI263" i="5"/>
  <c r="AB280" i="5"/>
  <c r="AB193" i="5"/>
  <c r="M193" i="5" s="1"/>
  <c r="AB268" i="5"/>
  <c r="AI236" i="5"/>
  <c r="AC278" i="5"/>
  <c r="AK243" i="5"/>
  <c r="AB198" i="5"/>
  <c r="M198" i="5" s="1"/>
  <c r="AD274" i="5"/>
  <c r="AI229" i="5"/>
  <c r="AE281" i="5"/>
  <c r="AJ280" i="5"/>
  <c r="AC243" i="5"/>
  <c r="AJ263" i="5"/>
  <c r="AC199" i="5"/>
  <c r="N199" i="5" s="1"/>
  <c r="AL258" i="5"/>
  <c r="AB192" i="5"/>
  <c r="M192" i="5" s="1"/>
  <c r="AK199" i="5"/>
  <c r="X199" i="5" s="1"/>
  <c r="AJ276" i="5"/>
  <c r="AK240" i="5"/>
  <c r="AD229" i="5"/>
  <c r="AB275" i="5"/>
  <c r="AK279" i="5"/>
  <c r="AI251" i="5"/>
  <c r="AI240" i="5"/>
  <c r="AL193" i="5"/>
  <c r="Y193" i="5" s="1"/>
  <c r="N72" i="5" s="1"/>
  <c r="AC212" i="5"/>
  <c r="N212" i="5" s="1"/>
  <c r="AE247" i="5"/>
  <c r="AJ253" i="5"/>
  <c r="AB241" i="5"/>
  <c r="AJ284" i="5"/>
  <c r="AE219" i="5"/>
  <c r="AL236" i="5"/>
  <c r="AJ233" i="5"/>
  <c r="AK235" i="5"/>
  <c r="AK261" i="5"/>
  <c r="AC200" i="5"/>
  <c r="N200" i="5" s="1"/>
  <c r="AJ236" i="5"/>
  <c r="AC222" i="5"/>
  <c r="AD286" i="5"/>
  <c r="AB243" i="5"/>
  <c r="AB288" i="5"/>
  <c r="AK247" i="5"/>
  <c r="AL235" i="5"/>
  <c r="AK257" i="5"/>
  <c r="AC234" i="5"/>
  <c r="AD284" i="5"/>
  <c r="AJ203" i="5"/>
  <c r="W203" i="5" s="1"/>
  <c r="AE260" i="5"/>
  <c r="AD227" i="5"/>
  <c r="AJ259" i="5"/>
  <c r="AJ228" i="5"/>
  <c r="AI235" i="5"/>
  <c r="AB265" i="5"/>
  <c r="AE271" i="5"/>
  <c r="AE229" i="5"/>
  <c r="AJ201" i="5"/>
  <c r="W201" i="5" s="1"/>
  <c r="AC257" i="5"/>
  <c r="AJ249" i="5"/>
  <c r="AC211" i="5"/>
  <c r="N211" i="5" s="1"/>
  <c r="AE215" i="5"/>
  <c r="P215" i="5" s="1"/>
  <c r="AC237" i="5"/>
  <c r="AD242" i="5"/>
  <c r="AI231" i="5"/>
  <c r="AD246" i="5"/>
  <c r="AJ213" i="5"/>
  <c r="W213" i="5" s="1"/>
  <c r="AJ283" i="5"/>
  <c r="AC214" i="5"/>
  <c r="N214" i="5" s="1"/>
  <c r="AE284" i="5"/>
  <c r="AI247" i="5"/>
  <c r="AK270" i="5"/>
  <c r="AC281" i="5"/>
  <c r="AI195" i="5"/>
  <c r="V195" i="5" s="1"/>
  <c r="AD219" i="5"/>
  <c r="AK220" i="5"/>
  <c r="AD201" i="5"/>
  <c r="O201" i="5" s="1"/>
  <c r="AI220" i="5"/>
  <c r="AI244" i="5"/>
  <c r="AC219" i="5"/>
  <c r="AK282" i="5"/>
  <c r="AC232" i="5"/>
  <c r="AK197" i="5"/>
  <c r="X197" i="5" s="1"/>
  <c r="AK271" i="5"/>
  <c r="AB262" i="5"/>
  <c r="AC269" i="5"/>
  <c r="AI283" i="5"/>
  <c r="AC239" i="5"/>
  <c r="AJ285" i="5"/>
  <c r="AC235" i="5"/>
  <c r="AC236" i="5"/>
  <c r="AD268" i="5"/>
  <c r="AB211" i="5"/>
  <c r="M211" i="5" s="1"/>
  <c r="AC262" i="5"/>
  <c r="AL263" i="5"/>
  <c r="AI271" i="5"/>
  <c r="AI201" i="5"/>
  <c r="V201" i="5" s="1"/>
  <c r="AC258" i="5"/>
  <c r="AC233" i="5"/>
  <c r="AJ221" i="5"/>
  <c r="AD263" i="5"/>
  <c r="AC213" i="5"/>
  <c r="N213" i="5" s="1"/>
  <c r="AK246" i="5"/>
  <c r="AJ215" i="5"/>
  <c r="W215" i="5" s="1"/>
  <c r="AD282" i="5"/>
  <c r="AJ225" i="5"/>
  <c r="AE262" i="5"/>
  <c r="AD262" i="5"/>
  <c r="AI262" i="5"/>
  <c r="AJ275" i="5"/>
  <c r="AI227" i="5"/>
  <c r="AI199" i="5"/>
  <c r="V199" i="5" s="1"/>
  <c r="AB212" i="5"/>
  <c r="M212" i="5" s="1"/>
  <c r="AB276" i="5"/>
  <c r="AD261" i="5"/>
  <c r="AJ271" i="5"/>
  <c r="AJ287" i="5"/>
  <c r="AJ231" i="5"/>
  <c r="AJ267" i="5"/>
  <c r="AB196" i="5"/>
  <c r="M196" i="5" s="1"/>
  <c r="AB204" i="5"/>
  <c r="M204" i="5" s="1"/>
  <c r="AJ219" i="5"/>
  <c r="AC260" i="5"/>
  <c r="AC205" i="5"/>
  <c r="N205" i="5" s="1"/>
  <c r="AI214" i="5"/>
  <c r="V214" i="5" s="1"/>
  <c r="AC254" i="5"/>
  <c r="AE211" i="5"/>
  <c r="P211" i="5" s="1"/>
  <c r="AI260" i="5"/>
  <c r="AD258" i="5"/>
  <c r="AK280" i="5"/>
  <c r="AC218" i="5"/>
  <c r="AJ223" i="5"/>
  <c r="AK192" i="5"/>
  <c r="X192" i="5" s="1"/>
  <c r="AK283" i="5"/>
  <c r="AB271" i="5"/>
  <c r="AC192" i="5"/>
  <c r="N192" i="5" s="1"/>
  <c r="AB270" i="5"/>
  <c r="AJ239" i="5"/>
  <c r="AJ266" i="5"/>
  <c r="AJ197" i="5"/>
  <c r="W197" i="5" s="1"/>
  <c r="AC226" i="5"/>
  <c r="AD195" i="5"/>
  <c r="O195" i="5" s="1"/>
  <c r="AK193" i="5"/>
  <c r="X193" i="5" s="1"/>
  <c r="AJ273" i="5"/>
  <c r="AI276" i="5"/>
  <c r="AE267" i="5"/>
  <c r="AJ268" i="5"/>
  <c r="AE268" i="5"/>
  <c r="AC264" i="5"/>
  <c r="AI212" i="5"/>
  <c r="V212" i="5" s="1"/>
  <c r="AB255" i="5"/>
  <c r="AI267" i="5"/>
  <c r="AK198" i="5"/>
  <c r="X198" i="5" s="1"/>
  <c r="AK234" i="5"/>
  <c r="AJ198" i="5"/>
  <c r="W198" i="5" s="1"/>
  <c r="AI259" i="5"/>
  <c r="AB197" i="5"/>
  <c r="M197" i="5" s="1"/>
  <c r="AK288" i="5"/>
  <c r="AI249" i="5"/>
  <c r="AK260" i="5"/>
  <c r="AD269" i="5"/>
  <c r="AD215" i="5"/>
  <c r="O215" i="5" s="1"/>
  <c r="AK215" i="5"/>
  <c r="X215" i="5" s="1"/>
  <c r="AC274" i="5"/>
  <c r="AD231" i="5"/>
  <c r="AJ291" i="5"/>
  <c r="AB282" i="5"/>
  <c r="AJ195" i="5"/>
  <c r="W195" i="5" s="1"/>
  <c r="AD267" i="5"/>
  <c r="AI200" i="5"/>
  <c r="V200" i="5" s="1"/>
  <c r="AK211" i="5"/>
  <c r="X211" i="5" s="1"/>
  <c r="AE220" i="5"/>
  <c r="AL220" i="5"/>
  <c r="AE197" i="5"/>
  <c r="P197" i="5" s="1"/>
  <c r="AL197" i="5"/>
  <c r="Y197" i="5" s="1"/>
  <c r="AC191" i="5"/>
  <c r="AC279" i="5"/>
  <c r="AC229" i="5"/>
  <c r="AJ229" i="5"/>
  <c r="W206" i="5"/>
  <c r="W205" i="5"/>
  <c r="AL241" i="5"/>
  <c r="AE241" i="5"/>
  <c r="AJ241" i="5"/>
  <c r="AC241" i="5"/>
  <c r="AD241" i="5"/>
  <c r="AK241" i="5"/>
  <c r="AE206" i="5"/>
  <c r="P206" i="5" s="1"/>
  <c r="AL206" i="5"/>
  <c r="Y206" i="5" s="1"/>
  <c r="AI191" i="5"/>
  <c r="AB191" i="5"/>
  <c r="AJ252" i="5"/>
  <c r="AC252" i="5"/>
  <c r="AL212" i="5"/>
  <c r="Y212" i="5" s="1"/>
  <c r="AE212" i="5"/>
  <c r="P212" i="5" s="1"/>
  <c r="AK224" i="5"/>
  <c r="AD224" i="5"/>
  <c r="AI289" i="5"/>
  <c r="AB289" i="5"/>
  <c r="AB281" i="5"/>
  <c r="AI281" i="5"/>
  <c r="AK245" i="5"/>
  <c r="AD245" i="5"/>
  <c r="W199" i="5"/>
  <c r="W211" i="5"/>
  <c r="AB230" i="5"/>
  <c r="AI230" i="5"/>
  <c r="AB217" i="5"/>
  <c r="AI217" i="5"/>
  <c r="AI242" i="5"/>
  <c r="AB242" i="5"/>
  <c r="AL223" i="5"/>
  <c r="AE223" i="5"/>
  <c r="AI210" i="5"/>
  <c r="V210" i="5" s="1"/>
  <c r="AB210" i="5"/>
  <c r="M210" i="5" s="1"/>
  <c r="AL239" i="5"/>
  <c r="AE239" i="5"/>
  <c r="AE261" i="5"/>
  <c r="AL261" i="5"/>
  <c r="AL213" i="5"/>
  <c r="Y213" i="5" s="1"/>
  <c r="AE213" i="5"/>
  <c r="P213" i="5" s="1"/>
  <c r="AL216" i="5"/>
  <c r="Y216" i="5" s="1"/>
  <c r="AE216" i="5"/>
  <c r="P216" i="5" s="1"/>
  <c r="AJ256" i="5"/>
  <c r="AC256" i="5"/>
  <c r="AB266" i="5"/>
  <c r="AI266" i="5"/>
  <c r="AE203" i="5"/>
  <c r="P203" i="5" s="1"/>
  <c r="AL203" i="5"/>
  <c r="Y203" i="5" s="1"/>
  <c r="AK217" i="5"/>
  <c r="AD217" i="5"/>
  <c r="AL280" i="5"/>
  <c r="AE280" i="5"/>
  <c r="AD236" i="5"/>
  <c r="AK236" i="5"/>
  <c r="AD191" i="5"/>
  <c r="AK191" i="5"/>
  <c r="AB209" i="5"/>
  <c r="M209" i="5" s="1"/>
  <c r="AI209" i="5"/>
  <c r="V209" i="5" s="1"/>
  <c r="AE221" i="5"/>
  <c r="AL221" i="5"/>
  <c r="AL224" i="5"/>
  <c r="AE224" i="5"/>
  <c r="AD289" i="5"/>
  <c r="AK289" i="5"/>
  <c r="AI274" i="5"/>
  <c r="AB274" i="5"/>
  <c r="AD281" i="5"/>
  <c r="AK281" i="5"/>
  <c r="AE245" i="5"/>
  <c r="AL245" i="5"/>
  <c r="AI223" i="5"/>
  <c r="AB223" i="5"/>
  <c r="AB273" i="5"/>
  <c r="AI273" i="5"/>
  <c r="AE248" i="5"/>
  <c r="AL248" i="5"/>
  <c r="AD194" i="5"/>
  <c r="O194" i="5" s="1"/>
  <c r="AK194" i="5"/>
  <c r="X194" i="5" s="1"/>
  <c r="AL240" i="5"/>
  <c r="AE240" i="5"/>
  <c r="AE279" i="5"/>
  <c r="AL279" i="5"/>
  <c r="AK265" i="5"/>
  <c r="AD265" i="5"/>
  <c r="AC202" i="5"/>
  <c r="N202" i="5" s="1"/>
  <c r="AJ202" i="5"/>
  <c r="W202" i="5" s="1"/>
  <c r="AK213" i="5"/>
  <c r="X213" i="5" s="1"/>
  <c r="AD213" i="5"/>
  <c r="O213" i="5" s="1"/>
  <c r="AC204" i="5"/>
  <c r="N204" i="5" s="1"/>
  <c r="AJ204" i="5"/>
  <c r="W204" i="5" s="1"/>
  <c r="AB222" i="5"/>
  <c r="AI222" i="5"/>
  <c r="AD209" i="5"/>
  <c r="O209" i="5" s="1"/>
  <c r="AK209" i="5"/>
  <c r="X209" i="5" s="1"/>
  <c r="AK216" i="5"/>
  <c r="X216" i="5" s="1"/>
  <c r="AD216" i="5"/>
  <c r="O216" i="5" s="1"/>
  <c r="AD232" i="5"/>
  <c r="AK232" i="5"/>
  <c r="AD230" i="5"/>
  <c r="AK230" i="5"/>
  <c r="AL266" i="5"/>
  <c r="AE266" i="5"/>
  <c r="AL276" i="5"/>
  <c r="AE276" i="5"/>
  <c r="AC289" i="5"/>
  <c r="AJ289" i="5"/>
  <c r="AE259" i="5"/>
  <c r="AL259" i="5"/>
  <c r="AK233" i="5"/>
  <c r="AD233" i="5"/>
  <c r="AE218" i="5"/>
  <c r="AL218" i="5"/>
  <c r="AE226" i="5"/>
  <c r="AL226" i="5"/>
  <c r="AK278" i="5"/>
  <c r="AD278" i="5"/>
  <c r="AD221" i="5"/>
  <c r="AK221" i="5"/>
  <c r="AD202" i="5"/>
  <c r="O202" i="5" s="1"/>
  <c r="AK202" i="5"/>
  <c r="X202" i="5" s="1"/>
  <c r="AJ240" i="5"/>
  <c r="AC240" i="5"/>
  <c r="AB279" i="5"/>
  <c r="AI279" i="5"/>
  <c r="AE251" i="5"/>
  <c r="AL251" i="5"/>
  <c r="AD200" i="5"/>
  <c r="O200" i="5" s="1"/>
  <c r="AK200" i="5"/>
  <c r="AJ255" i="5"/>
  <c r="AC255" i="5"/>
  <c r="AE209" i="5"/>
  <c r="P209" i="5" s="1"/>
  <c r="AL209" i="5"/>
  <c r="Y209" i="5" s="1"/>
  <c r="AE232" i="5"/>
  <c r="AL232" i="5"/>
  <c r="AK287" i="5"/>
  <c r="AD287" i="5"/>
  <c r="AI257" i="5"/>
  <c r="AB257" i="5"/>
  <c r="AB226" i="5"/>
  <c r="AI226" i="5"/>
  <c r="AC216" i="5"/>
  <c r="N216" i="5" s="1"/>
  <c r="AJ216" i="5"/>
  <c r="W216" i="5" s="1"/>
  <c r="AB194" i="5"/>
  <c r="M194" i="5" s="1"/>
  <c r="AI194" i="5"/>
  <c r="V194" i="5" s="1"/>
  <c r="AB269" i="5"/>
  <c r="AI269" i="5"/>
  <c r="AD225" i="5"/>
  <c r="AK225" i="5"/>
  <c r="AE273" i="5"/>
  <c r="AL273" i="5"/>
  <c r="AD251" i="5"/>
  <c r="AK251" i="5"/>
  <c r="AL222" i="5"/>
  <c r="AE222" i="5"/>
  <c r="AL230" i="5"/>
  <c r="AE230" i="5"/>
  <c r="AB291" i="5"/>
  <c r="AI291" i="5"/>
  <c r="AB238" i="5"/>
  <c r="AI238" i="5"/>
  <c r="AL210" i="5"/>
  <c r="Y210" i="5" s="1"/>
  <c r="AE210" i="5"/>
  <c r="P210" i="5" s="1"/>
  <c r="AD204" i="5"/>
  <c r="O204" i="5" s="1"/>
  <c r="AK204" i="5"/>
  <c r="X204" i="5" s="1"/>
  <c r="AD210" i="5"/>
  <c r="O210" i="5" s="1"/>
  <c r="AK210" i="5"/>
  <c r="X210" i="5" s="1"/>
  <c r="AL283" i="5"/>
  <c r="AE283" i="5"/>
  <c r="AC209" i="5"/>
  <c r="N209" i="5" s="1"/>
  <c r="AJ209" i="5"/>
  <c r="W209" i="5" s="1"/>
  <c r="AC238" i="5"/>
  <c r="AJ238" i="5"/>
  <c r="AK253" i="5"/>
  <c r="AD253" i="5"/>
  <c r="AL227" i="5"/>
  <c r="AE227" i="5"/>
  <c r="AL253" i="5"/>
  <c r="AE253" i="5"/>
  <c r="AE250" i="5"/>
  <c r="AL250" i="5"/>
  <c r="AI233" i="5"/>
  <c r="AB233" i="5"/>
  <c r="AK255" i="5"/>
  <c r="AD255" i="5"/>
  <c r="AD272" i="5"/>
  <c r="AK272" i="5"/>
  <c r="AB290" i="5"/>
  <c r="AI290" i="5"/>
  <c r="AE194" i="5"/>
  <c r="P194" i="5" s="1"/>
  <c r="AL194" i="5"/>
  <c r="Y194" i="5" s="1"/>
  <c r="AE269" i="5"/>
  <c r="AL269" i="5"/>
  <c r="AB225" i="5"/>
  <c r="AI225" i="5"/>
  <c r="AC261" i="5"/>
  <c r="AJ261" i="5"/>
  <c r="AD285" i="5"/>
  <c r="AK285" i="5"/>
  <c r="AE200" i="5"/>
  <c r="P200" i="5" s="1"/>
  <c r="AL200" i="5"/>
  <c r="Y200" i="5" s="1"/>
  <c r="AE207" i="5"/>
  <c r="P207" i="5" s="1"/>
  <c r="AL207" i="5"/>
  <c r="Y207" i="5" s="1"/>
  <c r="AK222" i="5"/>
  <c r="AD222" i="5"/>
  <c r="AI232" i="5"/>
  <c r="AB232" i="5"/>
  <c r="AI286" i="5"/>
  <c r="AB286" i="5"/>
  <c r="AD238" i="5"/>
  <c r="AK238" i="5"/>
  <c r="AD248" i="5"/>
  <c r="AK248" i="5"/>
  <c r="AE217" i="5"/>
  <c r="AL217" i="5"/>
  <c r="AE225" i="5"/>
  <c r="AL225" i="5"/>
  <c r="AE285" i="5"/>
  <c r="AL285" i="5"/>
  <c r="AD266" i="5"/>
  <c r="AK266" i="5"/>
  <c r="AL278" i="5"/>
  <c r="AE278" i="5"/>
  <c r="AB250" i="5"/>
  <c r="AI250" i="5"/>
  <c r="AB228" i="5"/>
  <c r="AI228" i="5"/>
  <c r="AI272" i="5"/>
  <c r="AB272" i="5"/>
  <c r="AL243" i="5"/>
  <c r="AE243" i="5"/>
  <c r="AL274" i="5"/>
  <c r="AE274" i="5"/>
  <c r="AE205" i="5"/>
  <c r="P205" i="5" s="1"/>
  <c r="AL205" i="5"/>
  <c r="Y205" i="5" s="1"/>
  <c r="AJ290" i="5"/>
  <c r="AB277" i="5"/>
  <c r="AI277" i="5"/>
  <c r="AE246" i="5"/>
  <c r="AL246" i="5"/>
  <c r="AI278" i="5"/>
  <c r="AB278" i="5"/>
  <c r="AE256" i="5"/>
  <c r="AL256" i="5"/>
  <c r="AC210" i="5"/>
  <c r="N210" i="5" s="1"/>
  <c r="AJ210" i="5"/>
  <c r="W210" i="5" s="1"/>
  <c r="AE228" i="5"/>
  <c r="AL228" i="5"/>
  <c r="AE290" i="5"/>
  <c r="AL290" i="5"/>
  <c r="AJ230" i="5"/>
  <c r="AC230" i="5"/>
  <c r="AK277" i="5"/>
  <c r="AD277" i="5"/>
  <c r="AD205" i="5"/>
  <c r="O205" i="5" s="1"/>
  <c r="AK205" i="5"/>
  <c r="X205" i="5" s="1"/>
  <c r="AI264" i="5"/>
  <c r="AB264" i="5"/>
  <c r="AC250" i="5"/>
  <c r="AJ250" i="5"/>
  <c r="AD273" i="5"/>
  <c r="AK273" i="5"/>
  <c r="AL265" i="5"/>
  <c r="AE265" i="5"/>
  <c r="AB285" i="5"/>
  <c r="AI285" i="5"/>
  <c r="AD207" i="5"/>
  <c r="O207" i="5" s="1"/>
  <c r="AK207" i="5"/>
  <c r="X207" i="5" s="1"/>
  <c r="AB208" i="5"/>
  <c r="M208" i="5" s="1"/>
  <c r="AI208" i="5"/>
  <c r="V208" i="5" s="1"/>
  <c r="AI237" i="5"/>
  <c r="AB237" i="5"/>
  <c r="AC286" i="5"/>
  <c r="AJ286" i="5"/>
  <c r="AD291" i="5"/>
  <c r="AK291" i="5"/>
  <c r="AC245" i="5"/>
  <c r="AJ245" i="5"/>
  <c r="AB202" i="5"/>
  <c r="M202" i="5" s="1"/>
  <c r="AI202" i="5"/>
  <c r="V202" i="5" s="1"/>
  <c r="AE204" i="5"/>
  <c r="P204" i="5" s="1"/>
  <c r="AL204" i="5"/>
  <c r="Y204" i="5" s="1"/>
  <c r="AL252" i="5"/>
  <c r="AE252" i="5"/>
  <c r="AB206" i="5"/>
  <c r="M206" i="5" s="1"/>
  <c r="AI206" i="5"/>
  <c r="V206" i="5" s="1"/>
  <c r="AD250" i="5"/>
  <c r="AK250" i="5"/>
  <c r="AC224" i="5"/>
  <c r="AJ224" i="5"/>
  <c r="AD228" i="5"/>
  <c r="AK228" i="5"/>
  <c r="AJ248" i="5"/>
  <c r="AC248" i="5"/>
  <c r="AE214" i="5"/>
  <c r="P214" i="5" s="1"/>
  <c r="AL214" i="5"/>
  <c r="Y214" i="5" s="1"/>
  <c r="AE264" i="5"/>
  <c r="AL264" i="5"/>
  <c r="AD223" i="5"/>
  <c r="AK223" i="5"/>
  <c r="AI218" i="5"/>
  <c r="AB218" i="5"/>
  <c r="AB239" i="5"/>
  <c r="AI239" i="5"/>
  <c r="AI213" i="5"/>
  <c r="V213" i="5" s="1"/>
  <c r="AB213" i="5"/>
  <c r="M213" i="5" s="1"/>
  <c r="AD208" i="5"/>
  <c r="O208" i="5" s="1"/>
  <c r="AK208" i="5"/>
  <c r="X208" i="5" s="1"/>
  <c r="AL237" i="5"/>
  <c r="AE237" i="5"/>
  <c r="AE291" i="5"/>
  <c r="AL291" i="5"/>
  <c r="AC194" i="5"/>
  <c r="N194" i="5" s="1"/>
  <c r="AJ194" i="5"/>
  <c r="W194" i="5" s="1"/>
  <c r="AE238" i="5"/>
  <c r="AL238" i="5"/>
  <c r="AE202" i="5"/>
  <c r="P202" i="5" s="1"/>
  <c r="AL202" i="5"/>
  <c r="Y202" i="5" s="1"/>
  <c r="AI203" i="5"/>
  <c r="V203" i="5" s="1"/>
  <c r="AB203" i="5"/>
  <c r="M203" i="5" s="1"/>
  <c r="AB287" i="5"/>
  <c r="AI287" i="5"/>
  <c r="AE287" i="5"/>
  <c r="AL287" i="5"/>
  <c r="AB252" i="5"/>
  <c r="AI252" i="5"/>
  <c r="AI253" i="5"/>
  <c r="AB253" i="5"/>
  <c r="AI224" i="5"/>
  <c r="AB224" i="5"/>
  <c r="AK218" i="5"/>
  <c r="AD218" i="5"/>
  <c r="AI207" i="5"/>
  <c r="V207" i="5" s="1"/>
  <c r="AB207" i="5"/>
  <c r="M207" i="5" s="1"/>
  <c r="AK252" i="5"/>
  <c r="AD252" i="5"/>
  <c r="AL255" i="5"/>
  <c r="AE255" i="5"/>
  <c r="AL272" i="5"/>
  <c r="AE272" i="5"/>
  <c r="AD290" i="5"/>
  <c r="AK290" i="5"/>
  <c r="AD264" i="5"/>
  <c r="AK264" i="5"/>
  <c r="AI256" i="5"/>
  <c r="AB256" i="5"/>
  <c r="AL277" i="5"/>
  <c r="AE277" i="5"/>
  <c r="AI246" i="5"/>
  <c r="AB246" i="5"/>
  <c r="AK206" i="5"/>
  <c r="X206" i="5" s="1"/>
  <c r="AD206" i="5"/>
  <c r="O206" i="5" s="1"/>
  <c r="AD256" i="5"/>
  <c r="AK256" i="5"/>
  <c r="AE191" i="5"/>
  <c r="AL191" i="5"/>
  <c r="AJ251" i="5"/>
  <c r="AC251" i="5"/>
  <c r="AK212" i="5"/>
  <c r="X212" i="5" s="1"/>
  <c r="AD212" i="5"/>
  <c r="O212" i="5" s="1"/>
  <c r="AB221" i="5"/>
  <c r="AI221" i="5"/>
  <c r="AE289" i="5"/>
  <c r="AL289" i="5"/>
  <c r="AB248" i="5"/>
  <c r="AI248" i="5"/>
  <c r="AE242" i="5"/>
  <c r="AL242" i="5"/>
  <c r="AK239" i="5"/>
  <c r="AD239" i="5"/>
  <c r="AB261" i="5"/>
  <c r="AI261" i="5"/>
  <c r="AB216" i="5"/>
  <c r="M216" i="5" s="1"/>
  <c r="AI216" i="5"/>
  <c r="V216" i="5" s="1"/>
  <c r="AE208" i="5"/>
  <c r="P208" i="5" s="1"/>
  <c r="AL208" i="5"/>
  <c r="Y208" i="5" s="1"/>
  <c r="AJ217" i="5"/>
  <c r="AC217" i="5"/>
  <c r="AK259" i="5"/>
  <c r="AD259" i="5"/>
  <c r="AD203" i="5"/>
  <c r="O203" i="5" s="1"/>
  <c r="AK203" i="5"/>
  <c r="X203" i="5" s="1"/>
  <c r="AK276" i="5"/>
  <c r="AD276" i="5"/>
  <c r="AK214" i="5"/>
  <c r="X214" i="5" s="1"/>
  <c r="AD214" i="5"/>
  <c r="O214" i="5" s="1"/>
  <c r="AK237" i="5"/>
  <c r="AD237" i="5"/>
  <c r="AC272" i="5"/>
  <c r="AJ272" i="5"/>
  <c r="AL233" i="5"/>
  <c r="AE233" i="5"/>
  <c r="AK226" i="5"/>
  <c r="AD226" i="5"/>
  <c r="AG191" i="5"/>
  <c r="AN193" i="5" l="1"/>
  <c r="AO193" i="5" s="1"/>
  <c r="X191" i="5"/>
  <c r="AK188" i="5"/>
  <c r="L183" i="5" s="1"/>
  <c r="O191" i="5"/>
  <c r="AD188" i="5"/>
  <c r="K183" i="5" s="1"/>
  <c r="Y191" i="5"/>
  <c r="H23" i="4" s="1"/>
  <c r="AL188" i="5"/>
  <c r="L180" i="5" s="1"/>
  <c r="P191" i="5"/>
  <c r="G23" i="4" s="1"/>
  <c r="AE188" i="5"/>
  <c r="K180" i="5" s="1"/>
  <c r="M191" i="5"/>
  <c r="AB188" i="5"/>
  <c r="K181" i="5" s="1"/>
  <c r="N191" i="5"/>
  <c r="AC188" i="5"/>
  <c r="K182" i="5" s="1"/>
  <c r="V191" i="5"/>
  <c r="AI188" i="5"/>
  <c r="L181" i="5" s="1"/>
  <c r="W191" i="5"/>
  <c r="AJ188" i="5"/>
  <c r="L182" i="5" s="1"/>
  <c r="AA191" i="5"/>
  <c r="AA192" i="5"/>
  <c r="T192" i="5" s="1"/>
  <c r="O72" i="5"/>
  <c r="N87" i="5"/>
  <c r="K46" i="4" s="1"/>
  <c r="O75" i="5"/>
  <c r="N94" i="5"/>
  <c r="K53" i="4" s="1"/>
  <c r="N86" i="5"/>
  <c r="K45" i="4" s="1"/>
  <c r="N88" i="5"/>
  <c r="K47" i="4" s="1"/>
  <c r="O78" i="5"/>
  <c r="N93" i="5"/>
  <c r="K52" i="4" s="1"/>
  <c r="O81" i="5"/>
  <c r="N89" i="5"/>
  <c r="K48" i="4" s="1"/>
  <c r="N85" i="5"/>
  <c r="K44" i="4" s="1"/>
  <c r="O84" i="5"/>
  <c r="O94" i="5"/>
  <c r="O86" i="5"/>
  <c r="N92" i="5"/>
  <c r="K51" i="4" s="1"/>
  <c r="O83" i="5"/>
  <c r="N83" i="5"/>
  <c r="K42" i="4" s="1"/>
  <c r="O80" i="5"/>
  <c r="O77" i="5"/>
  <c r="O91" i="5"/>
  <c r="O89" i="5"/>
  <c r="O93" i="5"/>
  <c r="O90" i="5"/>
  <c r="N84" i="5"/>
  <c r="K43" i="4" s="1"/>
  <c r="N76" i="5"/>
  <c r="O71" i="5"/>
  <c r="O74" i="5"/>
  <c r="O92" i="5"/>
  <c r="O76" i="5"/>
  <c r="O82" i="5"/>
  <c r="N79" i="5"/>
  <c r="K38" i="4" s="1"/>
  <c r="O88" i="5"/>
  <c r="N91" i="5"/>
  <c r="K50" i="4" s="1"/>
  <c r="N81" i="5"/>
  <c r="K40" i="4" s="1"/>
  <c r="O85" i="5"/>
  <c r="O87" i="5"/>
  <c r="O73" i="5"/>
  <c r="N90" i="5"/>
  <c r="K49" i="4" s="1"/>
  <c r="N73" i="5"/>
  <c r="N82" i="5"/>
  <c r="K41" i="4" s="1"/>
  <c r="AA193" i="5"/>
  <c r="T193" i="5" s="1"/>
  <c r="AN194" i="5"/>
  <c r="AO194" i="5" s="1"/>
  <c r="X200" i="5"/>
  <c r="AH191" i="5"/>
  <c r="AG192" i="5"/>
  <c r="N70" i="5" l="1"/>
  <c r="G22" i="4"/>
  <c r="O70" i="5"/>
  <c r="R191" i="5"/>
  <c r="K191" i="5" s="1"/>
  <c r="T191" i="5"/>
  <c r="S191" i="5" s="1"/>
  <c r="O79" i="5"/>
  <c r="AN195" i="5"/>
  <c r="AO195" i="5" s="1"/>
  <c r="AA194" i="5"/>
  <c r="T194" i="5" s="1"/>
  <c r="H22" i="4"/>
  <c r="Q70" i="5"/>
  <c r="AG193" i="5"/>
  <c r="AH192" i="5"/>
  <c r="M70" i="5" l="1"/>
  <c r="AG194" i="5"/>
  <c r="AH194" i="5" s="1"/>
  <c r="R194" i="5" s="1"/>
  <c r="AN196" i="5"/>
  <c r="AO196" i="5" s="1"/>
  <c r="AA195" i="5"/>
  <c r="T195" i="5" s="1"/>
  <c r="Q73" i="5"/>
  <c r="R192" i="5"/>
  <c r="K192" i="5" s="1"/>
  <c r="Q71" i="5"/>
  <c r="AH193" i="5"/>
  <c r="S192" i="5"/>
  <c r="L70" i="5"/>
  <c r="AG195" i="5" l="1"/>
  <c r="AH195" i="5" s="1"/>
  <c r="M73" i="5"/>
  <c r="K194" i="5"/>
  <c r="L73" i="5" s="1"/>
  <c r="M71" i="5"/>
  <c r="AN197" i="5"/>
  <c r="AO197" i="5" s="1"/>
  <c r="AA196" i="5"/>
  <c r="T196" i="5" s="1"/>
  <c r="J191" i="5"/>
  <c r="K70" i="5" s="1"/>
  <c r="I70" i="5" s="1"/>
  <c r="H69" i="5" s="1"/>
  <c r="Q72" i="5"/>
  <c r="R193" i="5"/>
  <c r="S193" i="5"/>
  <c r="L71" i="5"/>
  <c r="AG196" i="5" l="1"/>
  <c r="M72" i="5"/>
  <c r="K193" i="5"/>
  <c r="L72" i="5" s="1"/>
  <c r="AN198" i="5"/>
  <c r="AO198" i="5" s="1"/>
  <c r="AA197" i="5"/>
  <c r="T197" i="5" s="1"/>
  <c r="Q75" i="5"/>
  <c r="Q74" i="5"/>
  <c r="R195" i="5"/>
  <c r="K195" i="5" s="1"/>
  <c r="J192" i="5"/>
  <c r="K71" i="5" s="1"/>
  <c r="S194" i="5"/>
  <c r="AH196" i="5" l="1"/>
  <c r="R196" i="5" s="1"/>
  <c r="AG197" i="5"/>
  <c r="AH197" i="5" s="1"/>
  <c r="R197" i="5" s="1"/>
  <c r="AN199" i="5"/>
  <c r="AN200" i="5" s="1"/>
  <c r="M74" i="5"/>
  <c r="AA198" i="5"/>
  <c r="T198" i="5" s="1"/>
  <c r="Q76" i="5"/>
  <c r="J70" i="5"/>
  <c r="J193" i="5"/>
  <c r="K72" i="5" s="1"/>
  <c r="L74" i="5"/>
  <c r="S195" i="5"/>
  <c r="D29" i="4" l="1"/>
  <c r="AG198" i="5"/>
  <c r="AG199" i="5" s="1"/>
  <c r="AH199" i="5" s="1"/>
  <c r="R199" i="5" s="1"/>
  <c r="K199" i="5" s="1"/>
  <c r="K196" i="5"/>
  <c r="L75" i="5" s="1"/>
  <c r="M75" i="5"/>
  <c r="M76" i="5"/>
  <c r="K197" i="5"/>
  <c r="AO199" i="5"/>
  <c r="AA199" i="5" s="1"/>
  <c r="T199" i="5" s="1"/>
  <c r="AO200" i="5"/>
  <c r="AN201" i="5"/>
  <c r="I71" i="5"/>
  <c r="H70" i="5" s="1"/>
  <c r="J71" i="5"/>
  <c r="D30" i="4" s="1"/>
  <c r="J194" i="5"/>
  <c r="K73" i="5" s="1"/>
  <c r="S196" i="5"/>
  <c r="E29" i="4"/>
  <c r="F29" i="4" s="1"/>
  <c r="S70" i="5"/>
  <c r="AH198" i="5" l="1"/>
  <c r="Q77" i="5" s="1"/>
  <c r="AG200" i="5"/>
  <c r="AH200" i="5" s="1"/>
  <c r="R200" i="5" s="1"/>
  <c r="K200" i="5" s="1"/>
  <c r="Q78" i="5"/>
  <c r="M78" i="5"/>
  <c r="L76" i="5"/>
  <c r="AO201" i="5"/>
  <c r="AN202" i="5"/>
  <c r="AA200" i="5"/>
  <c r="T200" i="5" s="1"/>
  <c r="S197" i="5"/>
  <c r="C62" i="7"/>
  <c r="B29" i="4"/>
  <c r="I72" i="5"/>
  <c r="J72" i="5"/>
  <c r="D31" i="4" s="1"/>
  <c r="U70" i="5"/>
  <c r="T70" i="5"/>
  <c r="J195" i="5"/>
  <c r="K74" i="5" s="1"/>
  <c r="E30" i="4"/>
  <c r="F30" i="4" s="1"/>
  <c r="S71" i="5"/>
  <c r="H71" i="5" l="1"/>
  <c r="R198" i="5"/>
  <c r="M77" i="5" s="1"/>
  <c r="AG201" i="5"/>
  <c r="AG202" i="5" s="1"/>
  <c r="AH202" i="5" s="1"/>
  <c r="K29" i="4"/>
  <c r="L29" i="4"/>
  <c r="L78" i="5"/>
  <c r="M79" i="5"/>
  <c r="Q79" i="5"/>
  <c r="B30" i="4"/>
  <c r="AO202" i="5"/>
  <c r="AN203" i="5"/>
  <c r="AA201" i="5"/>
  <c r="T201" i="5" s="1"/>
  <c r="J196" i="5"/>
  <c r="K75" i="5" s="1"/>
  <c r="J29" i="4"/>
  <c r="I29" i="4"/>
  <c r="H29" i="4" s="1"/>
  <c r="S198" i="5"/>
  <c r="C60" i="7"/>
  <c r="G29" i="4"/>
  <c r="T71" i="5"/>
  <c r="U71" i="5"/>
  <c r="E31" i="4"/>
  <c r="F31" i="4" s="1"/>
  <c r="S72" i="5"/>
  <c r="I73" i="5"/>
  <c r="H72" i="5" s="1"/>
  <c r="J73" i="5"/>
  <c r="D32" i="4" s="1"/>
  <c r="K198" i="5" l="1"/>
  <c r="L77" i="5" s="1"/>
  <c r="AG203" i="5"/>
  <c r="AH203" i="5" s="1"/>
  <c r="AH201" i="5"/>
  <c r="K30" i="4"/>
  <c r="L30" i="4"/>
  <c r="R201" i="5"/>
  <c r="L79" i="5"/>
  <c r="Q80" i="5"/>
  <c r="G30" i="4"/>
  <c r="AO203" i="5"/>
  <c r="AN204" i="5"/>
  <c r="AA202" i="5"/>
  <c r="T202" i="5" s="1"/>
  <c r="B31" i="4"/>
  <c r="R202" i="5"/>
  <c r="K202" i="5" s="1"/>
  <c r="E32" i="4"/>
  <c r="F32" i="4" s="1"/>
  <c r="S73" i="5"/>
  <c r="S199" i="5"/>
  <c r="J30" i="4"/>
  <c r="I30" i="4"/>
  <c r="H30" i="4" s="1"/>
  <c r="I74" i="5"/>
  <c r="J74" i="5"/>
  <c r="D33" i="4" s="1"/>
  <c r="U72" i="5"/>
  <c r="T72" i="5"/>
  <c r="J197" i="5"/>
  <c r="K76" i="5" s="1"/>
  <c r="AG204" i="5" l="1"/>
  <c r="AG205" i="5" s="1"/>
  <c r="M80" i="5"/>
  <c r="K201" i="5"/>
  <c r="L80" i="5" s="1"/>
  <c r="K31" i="4"/>
  <c r="L31" i="4"/>
  <c r="M81" i="5"/>
  <c r="Q81" i="5"/>
  <c r="H73" i="5"/>
  <c r="B32" i="4"/>
  <c r="G31" i="4"/>
  <c r="AO204" i="5"/>
  <c r="AN205" i="5"/>
  <c r="AA203" i="5"/>
  <c r="T203" i="5" s="1"/>
  <c r="J198" i="5"/>
  <c r="K77" i="5" s="1"/>
  <c r="J31" i="4"/>
  <c r="I31" i="4"/>
  <c r="H31" i="4" s="1"/>
  <c r="R203" i="5"/>
  <c r="K203" i="5" s="1"/>
  <c r="U73" i="5"/>
  <c r="T73" i="5"/>
  <c r="E33" i="4"/>
  <c r="F33" i="4" s="1"/>
  <c r="S74" i="5"/>
  <c r="S200" i="5"/>
  <c r="I75" i="5"/>
  <c r="H74" i="5" s="1"/>
  <c r="J75" i="5"/>
  <c r="D34" i="4" s="1"/>
  <c r="AH204" i="5" l="1"/>
  <c r="R204" i="5" s="1"/>
  <c r="K204" i="5" s="1"/>
  <c r="K32" i="4"/>
  <c r="L32" i="4"/>
  <c r="L81" i="5"/>
  <c r="M82" i="5"/>
  <c r="Q82" i="5"/>
  <c r="G32" i="4"/>
  <c r="AA204" i="5"/>
  <c r="T204" i="5" s="1"/>
  <c r="AO205" i="5"/>
  <c r="AN206" i="5"/>
  <c r="AO206" i="5" s="1"/>
  <c r="E34" i="4"/>
  <c r="F34" i="4" s="1"/>
  <c r="S75" i="5"/>
  <c r="AH205" i="5"/>
  <c r="AG206" i="5"/>
  <c r="S201" i="5"/>
  <c r="B33" i="4"/>
  <c r="T74" i="5"/>
  <c r="U74" i="5"/>
  <c r="J32" i="4"/>
  <c r="I32" i="4"/>
  <c r="H32" i="4" s="1"/>
  <c r="I76" i="5"/>
  <c r="H75" i="5" s="1"/>
  <c r="J76" i="5"/>
  <c r="D35" i="4" s="1"/>
  <c r="J199" i="5"/>
  <c r="K78" i="5" s="1"/>
  <c r="K33" i="4" l="1"/>
  <c r="L33" i="4"/>
  <c r="Q83" i="5"/>
  <c r="M83" i="5"/>
  <c r="L82" i="5"/>
  <c r="B34" i="4"/>
  <c r="AN207" i="5"/>
  <c r="AO207" i="5" s="1"/>
  <c r="AA207" i="5" s="1"/>
  <c r="T207" i="5" s="1"/>
  <c r="AA206" i="5"/>
  <c r="T206" i="5" s="1"/>
  <c r="AA205" i="5"/>
  <c r="T205" i="5" s="1"/>
  <c r="S202" i="5"/>
  <c r="AH206" i="5"/>
  <c r="AG207" i="5"/>
  <c r="R205" i="5"/>
  <c r="K205" i="5" s="1"/>
  <c r="J200" i="5"/>
  <c r="K79" i="5" s="1"/>
  <c r="J33" i="4"/>
  <c r="I33" i="4"/>
  <c r="H33" i="4" s="1"/>
  <c r="E35" i="4"/>
  <c r="F35" i="4" s="1"/>
  <c r="S76" i="5"/>
  <c r="U75" i="5"/>
  <c r="T75" i="5"/>
  <c r="J77" i="5"/>
  <c r="D36" i="4" s="1"/>
  <c r="I77" i="5"/>
  <c r="G33" i="4"/>
  <c r="H76" i="5" l="1"/>
  <c r="K34" i="4"/>
  <c r="L34" i="4"/>
  <c r="M84" i="5"/>
  <c r="L83" i="5"/>
  <c r="Q84" i="5"/>
  <c r="AN208" i="5"/>
  <c r="AO208" i="5" s="1"/>
  <c r="AA208" i="5" s="1"/>
  <c r="T208" i="5" s="1"/>
  <c r="G34" i="4"/>
  <c r="E36" i="4"/>
  <c r="F36" i="4" s="1"/>
  <c r="S77" i="5"/>
  <c r="AH207" i="5"/>
  <c r="AG208" i="5"/>
  <c r="J34" i="4"/>
  <c r="I34" i="4"/>
  <c r="H34" i="4" s="1"/>
  <c r="U76" i="5"/>
  <c r="G35" i="4" s="1"/>
  <c r="T76" i="5"/>
  <c r="R206" i="5"/>
  <c r="K206" i="5" s="1"/>
  <c r="Q85" i="5"/>
  <c r="B35" i="4"/>
  <c r="J78" i="5"/>
  <c r="D37" i="4" s="1"/>
  <c r="I78" i="5"/>
  <c r="H77" i="5" s="1"/>
  <c r="S203" i="5"/>
  <c r="J201" i="5"/>
  <c r="K80" i="5" s="1"/>
  <c r="K35" i="4" l="1"/>
  <c r="L35" i="4"/>
  <c r="J35" i="4"/>
  <c r="I35" i="4"/>
  <c r="H35" i="4" s="1"/>
  <c r="L84" i="5"/>
  <c r="M85" i="5"/>
  <c r="B36" i="4"/>
  <c r="AN209" i="5"/>
  <c r="AN210" i="5" s="1"/>
  <c r="AN211" i="5" s="1"/>
  <c r="E37" i="4"/>
  <c r="F37" i="4" s="1"/>
  <c r="S78" i="5"/>
  <c r="I79" i="5"/>
  <c r="H78" i="5" s="1"/>
  <c r="J79" i="5"/>
  <c r="D38" i="4" s="1"/>
  <c r="J202" i="5"/>
  <c r="K81" i="5" s="1"/>
  <c r="L85" i="5"/>
  <c r="AH208" i="5"/>
  <c r="AG209" i="5"/>
  <c r="Q86" i="5"/>
  <c r="R207" i="5"/>
  <c r="K207" i="5" s="1"/>
  <c r="S204" i="5"/>
  <c r="T77" i="5"/>
  <c r="U77" i="5"/>
  <c r="G36" i="4" s="1"/>
  <c r="K36" i="4" l="1"/>
  <c r="L36" i="4"/>
  <c r="J36" i="4"/>
  <c r="I36" i="4"/>
  <c r="H36" i="4" s="1"/>
  <c r="M86" i="5"/>
  <c r="AO209" i="5"/>
  <c r="AA209" i="5" s="1"/>
  <c r="T209" i="5" s="1"/>
  <c r="B37" i="4"/>
  <c r="AO211" i="5"/>
  <c r="AN212" i="5"/>
  <c r="AO212" i="5" s="1"/>
  <c r="AO210" i="5"/>
  <c r="J80" i="5"/>
  <c r="D39" i="4" s="1"/>
  <c r="I80" i="5"/>
  <c r="H79" i="5" s="1"/>
  <c r="L86" i="5"/>
  <c r="E38" i="4"/>
  <c r="F38" i="4" s="1"/>
  <c r="S79" i="5"/>
  <c r="S205" i="5"/>
  <c r="AH209" i="5"/>
  <c r="AG210" i="5"/>
  <c r="J203" i="5"/>
  <c r="K82" i="5" s="1"/>
  <c r="R208" i="5"/>
  <c r="K208" i="5" s="1"/>
  <c r="Q87" i="5"/>
  <c r="U78" i="5"/>
  <c r="G37" i="4" s="1"/>
  <c r="T78" i="5"/>
  <c r="K37" i="4" l="1"/>
  <c r="L37" i="4"/>
  <c r="J37" i="4"/>
  <c r="I37" i="4"/>
  <c r="H37" i="4" s="1"/>
  <c r="M87" i="5"/>
  <c r="AN213" i="5"/>
  <c r="AO213" i="5" s="1"/>
  <c r="AA213" i="5" s="1"/>
  <c r="T213" i="5" s="1"/>
  <c r="B38" i="4"/>
  <c r="AA210" i="5"/>
  <c r="T210" i="5" s="1"/>
  <c r="AA212" i="5"/>
  <c r="T212" i="5" s="1"/>
  <c r="AA211" i="5"/>
  <c r="T211" i="5" s="1"/>
  <c r="I81" i="5"/>
  <c r="H80" i="5" s="1"/>
  <c r="J81" i="5"/>
  <c r="D40" i="4" s="1"/>
  <c r="T79" i="5"/>
  <c r="L38" i="4" s="1"/>
  <c r="U79" i="5"/>
  <c r="G38" i="4" s="1"/>
  <c r="J204" i="5"/>
  <c r="K83" i="5" s="1"/>
  <c r="AH210" i="5"/>
  <c r="AG211" i="5"/>
  <c r="R209" i="5"/>
  <c r="K209" i="5" s="1"/>
  <c r="L87" i="5"/>
  <c r="E39" i="4"/>
  <c r="F39" i="4" s="1"/>
  <c r="S80" i="5"/>
  <c r="S206" i="5"/>
  <c r="J38" i="4" l="1"/>
  <c r="I38" i="4"/>
  <c r="H38" i="4" s="1"/>
  <c r="Q88" i="5"/>
  <c r="M88" i="5"/>
  <c r="AN214" i="5"/>
  <c r="AO214" i="5" s="1"/>
  <c r="AH211" i="5"/>
  <c r="AG212" i="5"/>
  <c r="E40" i="4"/>
  <c r="F40" i="4" s="1"/>
  <c r="S81" i="5"/>
  <c r="U80" i="5"/>
  <c r="G39" i="4" s="1"/>
  <c r="T80" i="5"/>
  <c r="L39" i="4" s="1"/>
  <c r="I82" i="5"/>
  <c r="H81" i="5" s="1"/>
  <c r="J82" i="5"/>
  <c r="D41" i="4" s="1"/>
  <c r="Q89" i="5"/>
  <c r="R210" i="5"/>
  <c r="S207" i="5"/>
  <c r="J205" i="5"/>
  <c r="K84" i="5" s="1"/>
  <c r="B39" i="4"/>
  <c r="M89" i="5" l="1"/>
  <c r="K210" i="5"/>
  <c r="L89" i="5" s="1"/>
  <c r="J39" i="4"/>
  <c r="I39" i="4"/>
  <c r="H39" i="4" s="1"/>
  <c r="L88" i="5"/>
  <c r="AA214" i="5"/>
  <c r="T214" i="5" s="1"/>
  <c r="AN215" i="5"/>
  <c r="AN216" i="5" s="1"/>
  <c r="B40" i="4"/>
  <c r="AH212" i="5"/>
  <c r="AG213" i="5"/>
  <c r="S208" i="5"/>
  <c r="Q90" i="5"/>
  <c r="R211" i="5"/>
  <c r="K211" i="5" s="1"/>
  <c r="I83" i="5"/>
  <c r="H82" i="5" s="1"/>
  <c r="J83" i="5"/>
  <c r="D42" i="4" s="1"/>
  <c r="J206" i="5"/>
  <c r="K85" i="5" s="1"/>
  <c r="E41" i="4"/>
  <c r="F41" i="4" s="1"/>
  <c r="S82" i="5"/>
  <c r="U81" i="5"/>
  <c r="G40" i="4" s="1"/>
  <c r="T81" i="5"/>
  <c r="L40" i="4" s="1"/>
  <c r="J40" i="4" l="1"/>
  <c r="I40" i="4"/>
  <c r="H40" i="4" s="1"/>
  <c r="M90" i="5"/>
  <c r="AO215" i="5"/>
  <c r="AA215" i="5" s="1"/>
  <c r="T215" i="5" s="1"/>
  <c r="B41" i="4"/>
  <c r="AN217" i="5"/>
  <c r="AO216" i="5"/>
  <c r="J207" i="5"/>
  <c r="K86" i="5" s="1"/>
  <c r="L90" i="5"/>
  <c r="S209" i="5"/>
  <c r="E42" i="4"/>
  <c r="F42" i="4" s="1"/>
  <c r="S83" i="5"/>
  <c r="AH213" i="5"/>
  <c r="AG214" i="5"/>
  <c r="J84" i="5"/>
  <c r="D43" i="4" s="1"/>
  <c r="I84" i="5"/>
  <c r="H83" i="5" s="1"/>
  <c r="Q91" i="5"/>
  <c r="R212" i="5"/>
  <c r="K212" i="5" s="1"/>
  <c r="U82" i="5"/>
  <c r="G41" i="4" s="1"/>
  <c r="T82" i="5"/>
  <c r="L41" i="4" s="1"/>
  <c r="J41" i="4" l="1"/>
  <c r="I41" i="4"/>
  <c r="H41" i="4" s="1"/>
  <c r="M91" i="5"/>
  <c r="AA216" i="5"/>
  <c r="AO217" i="5"/>
  <c r="AN218" i="5"/>
  <c r="B42" i="4"/>
  <c r="U83" i="5"/>
  <c r="G42" i="4" s="1"/>
  <c r="T83" i="5"/>
  <c r="L42" i="4" s="1"/>
  <c r="J208" i="5"/>
  <c r="K87" i="5" s="1"/>
  <c r="L91" i="5"/>
  <c r="J85" i="5"/>
  <c r="D44" i="4" s="1"/>
  <c r="I85" i="5"/>
  <c r="H84" i="5" s="1"/>
  <c r="E43" i="4"/>
  <c r="F43" i="4" s="1"/>
  <c r="S84" i="5"/>
  <c r="AH214" i="5"/>
  <c r="AG215" i="5"/>
  <c r="S210" i="5"/>
  <c r="Q92" i="5"/>
  <c r="R213" i="5"/>
  <c r="K213" i="5" s="1"/>
  <c r="H24" i="4" l="1"/>
  <c r="T216" i="5"/>
  <c r="J42" i="4"/>
  <c r="I42" i="4"/>
  <c r="H42" i="4" s="1"/>
  <c r="M92" i="5"/>
  <c r="AO218" i="5"/>
  <c r="AN219" i="5"/>
  <c r="B43" i="4"/>
  <c r="J86" i="5"/>
  <c r="D45" i="4" s="1"/>
  <c r="I86" i="5"/>
  <c r="H85" i="5" s="1"/>
  <c r="J209" i="5"/>
  <c r="K88" i="5" s="1"/>
  <c r="L92" i="5"/>
  <c r="U84" i="5"/>
  <c r="G43" i="4" s="1"/>
  <c r="T84" i="5"/>
  <c r="L43" i="4" s="1"/>
  <c r="AH215" i="5"/>
  <c r="AG216" i="5"/>
  <c r="E44" i="4"/>
  <c r="F44" i="4" s="1"/>
  <c r="S85" i="5"/>
  <c r="R214" i="5"/>
  <c r="K214" i="5" s="1"/>
  <c r="Q93" i="5"/>
  <c r="S211" i="5"/>
  <c r="J43" i="4" l="1"/>
  <c r="I43" i="4"/>
  <c r="H43" i="4" s="1"/>
  <c r="M93" i="5"/>
  <c r="B44" i="4"/>
  <c r="AO219" i="5"/>
  <c r="AN220" i="5"/>
  <c r="U85" i="5"/>
  <c r="G44" i="4" s="1"/>
  <c r="T85" i="5"/>
  <c r="L44" i="4" s="1"/>
  <c r="E45" i="4"/>
  <c r="F45" i="4" s="1"/>
  <c r="S86" i="5"/>
  <c r="S212" i="5"/>
  <c r="Q94" i="5"/>
  <c r="R215" i="5"/>
  <c r="AH216" i="5"/>
  <c r="AG217" i="5"/>
  <c r="J87" i="5"/>
  <c r="D46" i="4" s="1"/>
  <c r="I87" i="5"/>
  <c r="H86" i="5" s="1"/>
  <c r="L93" i="5"/>
  <c r="J210" i="5"/>
  <c r="K89" i="5" s="1"/>
  <c r="M94" i="5" l="1"/>
  <c r="K215" i="5"/>
  <c r="L94" i="5" s="1"/>
  <c r="L65" i="5" s="1"/>
  <c r="J44" i="4"/>
  <c r="I44" i="4"/>
  <c r="H44" i="4" s="1"/>
  <c r="AO220" i="5"/>
  <c r="AN221" i="5"/>
  <c r="B45" i="4"/>
  <c r="U86" i="5"/>
  <c r="G45" i="4" s="1"/>
  <c r="T86" i="5"/>
  <c r="L45" i="4" s="1"/>
  <c r="I88" i="5"/>
  <c r="J88" i="5"/>
  <c r="D47" i="4" s="1"/>
  <c r="J211" i="5"/>
  <c r="K90" i="5" s="1"/>
  <c r="S213" i="5"/>
  <c r="R216" i="5"/>
  <c r="E46" i="4"/>
  <c r="F46" i="4" s="1"/>
  <c r="S87" i="5"/>
  <c r="AH217" i="5"/>
  <c r="AG218" i="5"/>
  <c r="L53" i="4" l="1"/>
  <c r="G24" i="4"/>
  <c r="K216" i="5"/>
  <c r="J45" i="4"/>
  <c r="I45" i="4"/>
  <c r="H45" i="4" s="1"/>
  <c r="B46" i="4"/>
  <c r="AO221" i="5"/>
  <c r="AN222" i="5"/>
  <c r="AH218" i="5"/>
  <c r="AG219" i="5"/>
  <c r="I89" i="5"/>
  <c r="H88" i="5" s="1"/>
  <c r="J89" i="5"/>
  <c r="D48" i="4" s="1"/>
  <c r="S214" i="5"/>
  <c r="J212" i="5"/>
  <c r="K91" i="5" s="1"/>
  <c r="E47" i="4"/>
  <c r="F47" i="4" s="1"/>
  <c r="S88" i="5"/>
  <c r="T87" i="5"/>
  <c r="L46" i="4" s="1"/>
  <c r="U87" i="5"/>
  <c r="G46" i="4" s="1"/>
  <c r="L62" i="5"/>
  <c r="L63" i="5" s="1"/>
  <c r="H87" i="5"/>
  <c r="J46" i="4" l="1"/>
  <c r="I46" i="4"/>
  <c r="H46" i="4" s="1"/>
  <c r="AO222" i="5"/>
  <c r="AN223" i="5"/>
  <c r="B47" i="4"/>
  <c r="J90" i="5"/>
  <c r="D49" i="4" s="1"/>
  <c r="I90" i="5"/>
  <c r="H89" i="5" s="1"/>
  <c r="J213" i="5"/>
  <c r="K92" i="5" s="1"/>
  <c r="S215" i="5"/>
  <c r="H16" i="4"/>
  <c r="H15" i="4"/>
  <c r="E48" i="4"/>
  <c r="F48" i="4" s="1"/>
  <c r="S89" i="5"/>
  <c r="H18" i="4"/>
  <c r="AH219" i="5"/>
  <c r="AG220" i="5"/>
  <c r="T88" i="5"/>
  <c r="L47" i="4" s="1"/>
  <c r="U88" i="5"/>
  <c r="G47" i="4" s="1"/>
  <c r="J47" i="4" l="1"/>
  <c r="I47" i="4"/>
  <c r="H47" i="4" s="1"/>
  <c r="AN224" i="5"/>
  <c r="AO223" i="5"/>
  <c r="B48" i="4"/>
  <c r="S216" i="5"/>
  <c r="I91" i="5"/>
  <c r="J91" i="5"/>
  <c r="D50" i="4" s="1"/>
  <c r="J214" i="5"/>
  <c r="K93" i="5" s="1"/>
  <c r="AH220" i="5"/>
  <c r="AG221" i="5"/>
  <c r="U89" i="5"/>
  <c r="G48" i="4" s="1"/>
  <c r="T89" i="5"/>
  <c r="L48" i="4" s="1"/>
  <c r="E49" i="4"/>
  <c r="F49" i="4" s="1"/>
  <c r="S90" i="5"/>
  <c r="H90" i="5" l="1"/>
  <c r="J48" i="4"/>
  <c r="I48" i="4"/>
  <c r="H48" i="4" s="1"/>
  <c r="B49" i="4"/>
  <c r="AN225" i="5"/>
  <c r="AO224" i="5"/>
  <c r="J92" i="5"/>
  <c r="D51" i="4" s="1"/>
  <c r="I92" i="5"/>
  <c r="H91" i="5" s="1"/>
  <c r="J215" i="5"/>
  <c r="K94" i="5" s="1"/>
  <c r="E50" i="4"/>
  <c r="F50" i="4" s="1"/>
  <c r="S91" i="5"/>
  <c r="AH221" i="5"/>
  <c r="AG222" i="5"/>
  <c r="U90" i="5"/>
  <c r="G49" i="4" s="1"/>
  <c r="T90" i="5"/>
  <c r="L49" i="4" s="1"/>
  <c r="J49" i="4" l="1"/>
  <c r="I49" i="4"/>
  <c r="H49" i="4" s="1"/>
  <c r="AO225" i="5"/>
  <c r="AN226" i="5"/>
  <c r="B50" i="4"/>
  <c r="U91" i="5"/>
  <c r="G50" i="4" s="1"/>
  <c r="T91" i="5"/>
  <c r="L50" i="4" s="1"/>
  <c r="I93" i="5"/>
  <c r="J93" i="5"/>
  <c r="D52" i="4" s="1"/>
  <c r="J216" i="5"/>
  <c r="AH222" i="5"/>
  <c r="AG223" i="5"/>
  <c r="E51" i="4"/>
  <c r="F51" i="4" s="1"/>
  <c r="S92" i="5"/>
  <c r="J50" i="4" l="1"/>
  <c r="I50" i="4"/>
  <c r="H50" i="4" s="1"/>
  <c r="AO226" i="5"/>
  <c r="AN227" i="5"/>
  <c r="J94" i="5"/>
  <c r="D53" i="4" s="1"/>
  <c r="I94" i="5"/>
  <c r="H94" i="5" s="1"/>
  <c r="AH223" i="5"/>
  <c r="AG224" i="5"/>
  <c r="E52" i="4"/>
  <c r="F52" i="4" s="1"/>
  <c r="S93" i="5"/>
  <c r="H92" i="5"/>
  <c r="U92" i="5"/>
  <c r="G51" i="4" s="1"/>
  <c r="T92" i="5"/>
  <c r="L51" i="4" s="1"/>
  <c r="B51" i="4"/>
  <c r="J51" i="4" l="1"/>
  <c r="I51" i="4"/>
  <c r="H51" i="4" s="1"/>
  <c r="H93" i="5"/>
  <c r="L61" i="5" s="1"/>
  <c r="AO227" i="5"/>
  <c r="AN228" i="5"/>
  <c r="B52" i="4"/>
  <c r="AH224" i="5"/>
  <c r="AG225" i="5"/>
  <c r="U93" i="5"/>
  <c r="G52" i="4"/>
  <c r="T93" i="5"/>
  <c r="L52" i="4" s="1"/>
  <c r="E53" i="4"/>
  <c r="F53" i="4" s="1"/>
  <c r="S94" i="5"/>
  <c r="L64" i="5" s="1"/>
  <c r="H17" i="4" s="1"/>
  <c r="H14" i="4" l="1"/>
  <c r="J52" i="4"/>
  <c r="I52" i="4"/>
  <c r="H52" i="4" s="1"/>
  <c r="B53" i="4"/>
  <c r="AN229" i="5"/>
  <c r="AO228" i="5"/>
  <c r="AH225" i="5"/>
  <c r="AG226" i="5"/>
  <c r="T94" i="5"/>
  <c r="U94" i="5"/>
  <c r="G53" i="4" s="1"/>
  <c r="J53" i="4" l="1"/>
  <c r="I53" i="4"/>
  <c r="H53" i="4" s="1"/>
  <c r="AO229" i="5"/>
  <c r="AN230" i="5"/>
  <c r="AH226" i="5"/>
  <c r="AG227" i="5"/>
  <c r="AO230" i="5" l="1"/>
  <c r="AN231" i="5"/>
  <c r="AH227" i="5"/>
  <c r="AG228" i="5"/>
  <c r="AO231" i="5" l="1"/>
  <c r="AN232" i="5"/>
  <c r="AH228" i="5"/>
  <c r="AG229" i="5"/>
  <c r="AO232" i="5" l="1"/>
  <c r="AN233" i="5"/>
  <c r="AH229" i="5"/>
  <c r="AG230" i="5"/>
  <c r="AO233" i="5" l="1"/>
  <c r="AN234" i="5"/>
  <c r="AH230" i="5"/>
  <c r="AG231" i="5"/>
  <c r="AO234" i="5" l="1"/>
  <c r="AN235" i="5"/>
  <c r="AO235" i="5" s="1"/>
  <c r="AH231" i="5"/>
  <c r="AG232" i="5"/>
  <c r="AN236" i="5" l="1"/>
  <c r="AH232" i="5"/>
  <c r="AG233" i="5"/>
  <c r="AO236" i="5" l="1"/>
  <c r="AN237" i="5"/>
  <c r="AH233" i="5"/>
  <c r="AG234" i="5"/>
  <c r="AN238" i="5" l="1"/>
  <c r="AO237" i="5"/>
  <c r="AH234" i="5"/>
  <c r="AG235" i="5"/>
  <c r="AO238" i="5" l="1"/>
  <c r="AN239" i="5"/>
  <c r="AH235" i="5"/>
  <c r="AG236" i="5"/>
  <c r="AO239" i="5" l="1"/>
  <c r="AN240" i="5"/>
  <c r="AH236" i="5"/>
  <c r="AG237" i="5"/>
  <c r="AN241" i="5" l="1"/>
  <c r="AO240" i="5"/>
  <c r="AH237" i="5"/>
  <c r="AG238" i="5"/>
  <c r="AO241" i="5" l="1"/>
  <c r="AN242" i="5"/>
  <c r="AH238" i="5"/>
  <c r="AG239" i="5"/>
  <c r="AO242" i="5" l="1"/>
  <c r="AN243" i="5"/>
  <c r="AH239" i="5"/>
  <c r="AG240" i="5"/>
  <c r="AO243" i="5" l="1"/>
  <c r="AN244" i="5"/>
  <c r="AH240" i="5"/>
  <c r="AG241" i="5"/>
  <c r="AO244" i="5" l="1"/>
  <c r="AN245" i="5"/>
  <c r="AH241" i="5"/>
  <c r="AG242" i="5"/>
  <c r="AO245" i="5" l="1"/>
  <c r="AN246" i="5"/>
  <c r="AH242" i="5"/>
  <c r="AG243" i="5"/>
  <c r="AO246" i="5" l="1"/>
  <c r="AN247" i="5"/>
  <c r="AH243" i="5"/>
  <c r="AG244" i="5"/>
  <c r="AO247" i="5" l="1"/>
  <c r="AN248" i="5"/>
  <c r="AO248" i="5" s="1"/>
  <c r="AH244" i="5"/>
  <c r="AG245" i="5"/>
  <c r="AN249" i="5" l="1"/>
  <c r="AH245" i="5"/>
  <c r="AG246" i="5"/>
  <c r="AO249" i="5" l="1"/>
  <c r="AN250" i="5"/>
  <c r="AH246" i="5"/>
  <c r="AG247" i="5"/>
  <c r="AO250" i="5" l="1"/>
  <c r="AN251" i="5"/>
  <c r="AH247" i="5"/>
  <c r="AG248" i="5"/>
  <c r="AN252" i="5" l="1"/>
  <c r="AO251" i="5"/>
  <c r="AH248" i="5"/>
  <c r="AG249" i="5"/>
  <c r="AN253" i="5" l="1"/>
  <c r="AO252" i="5"/>
  <c r="AH249" i="5"/>
  <c r="AG250" i="5"/>
  <c r="AO253" i="5" l="1"/>
  <c r="AN254" i="5"/>
  <c r="AH250" i="5"/>
  <c r="AG251" i="5"/>
  <c r="AO254" i="5" l="1"/>
  <c r="AN255" i="5"/>
  <c r="AH251" i="5"/>
  <c r="AG252" i="5"/>
  <c r="AN256" i="5" l="1"/>
  <c r="AO255" i="5"/>
  <c r="AH252" i="5"/>
  <c r="AG253" i="5"/>
  <c r="AO256" i="5" l="1"/>
  <c r="AN257" i="5"/>
  <c r="AH253" i="5"/>
  <c r="AG254" i="5"/>
  <c r="AN258" i="5" l="1"/>
  <c r="AO257" i="5"/>
  <c r="AH254" i="5"/>
  <c r="AG255" i="5"/>
  <c r="AO258" i="5" l="1"/>
  <c r="AN259" i="5"/>
  <c r="AH255" i="5"/>
  <c r="AG256" i="5"/>
  <c r="AO259" i="5" l="1"/>
  <c r="AN260" i="5"/>
  <c r="AH256" i="5"/>
  <c r="AG257" i="5"/>
  <c r="AO260" i="5" l="1"/>
  <c r="AN261" i="5"/>
  <c r="AH257" i="5"/>
  <c r="AG258" i="5"/>
  <c r="AO261" i="5" l="1"/>
  <c r="AN262" i="5"/>
  <c r="AH258" i="5"/>
  <c r="AG259" i="5"/>
  <c r="AO262" i="5" l="1"/>
  <c r="AN263" i="5"/>
  <c r="AH259" i="5"/>
  <c r="AG260" i="5"/>
  <c r="AO263" i="5" l="1"/>
  <c r="AN264" i="5"/>
  <c r="AH260" i="5"/>
  <c r="AG261" i="5"/>
  <c r="AO264" i="5" l="1"/>
  <c r="AN265" i="5"/>
  <c r="AH261" i="5"/>
  <c r="AG262" i="5"/>
  <c r="AO265" i="5" l="1"/>
  <c r="AN266" i="5"/>
  <c r="AO266" i="5" s="1"/>
  <c r="AH262" i="5"/>
  <c r="AG263" i="5"/>
  <c r="AN267" i="5" l="1"/>
  <c r="AH263" i="5"/>
  <c r="AG264" i="5"/>
  <c r="AO267" i="5" l="1"/>
  <c r="AN268" i="5"/>
  <c r="AH264" i="5"/>
  <c r="AG265" i="5"/>
  <c r="AN269" i="5" l="1"/>
  <c r="AO268" i="5"/>
  <c r="AH265" i="5"/>
  <c r="N115" i="2" s="1"/>
  <c r="AG266" i="5"/>
  <c r="AO269" i="5" l="1"/>
  <c r="AN270" i="5"/>
  <c r="AH266" i="5"/>
  <c r="AG267" i="5"/>
  <c r="AO270" i="5" l="1"/>
  <c r="AN271" i="5"/>
  <c r="AH267" i="5"/>
  <c r="AG268" i="5"/>
  <c r="AO271" i="5" l="1"/>
  <c r="AN272" i="5"/>
  <c r="AH268" i="5"/>
  <c r="AG269" i="5"/>
  <c r="AO272" i="5" l="1"/>
  <c r="AN273" i="5"/>
  <c r="AH269" i="5"/>
  <c r="AG270" i="5"/>
  <c r="AO273" i="5" l="1"/>
  <c r="AN274" i="5"/>
  <c r="AH270" i="5"/>
  <c r="AG271" i="5"/>
  <c r="AO274" i="5" l="1"/>
  <c r="AN275" i="5"/>
  <c r="AO275" i="5" s="1"/>
  <c r="AH271" i="5"/>
  <c r="AG272" i="5"/>
  <c r="AN276" i="5" l="1"/>
  <c r="AO276" i="5" s="1"/>
  <c r="AH272" i="5"/>
  <c r="AG273" i="5"/>
  <c r="AN277" i="5" l="1"/>
  <c r="AO277" i="5" s="1"/>
  <c r="AH273" i="5"/>
  <c r="AG274" i="5"/>
  <c r="AN278" i="5" l="1"/>
  <c r="AO278" i="5" s="1"/>
  <c r="AH274" i="5"/>
  <c r="AG275" i="5"/>
  <c r="AN279" i="5" l="1"/>
  <c r="AO279" i="5" s="1"/>
  <c r="AH275" i="5"/>
  <c r="AG276" i="5"/>
  <c r="AN280" i="5" l="1"/>
  <c r="AO280" i="5" s="1"/>
  <c r="AH276" i="5"/>
  <c r="AG277" i="5"/>
  <c r="AN281" i="5" l="1"/>
  <c r="AH277" i="5"/>
  <c r="AG278" i="5"/>
  <c r="AO281" i="5" l="1"/>
  <c r="AN282" i="5"/>
  <c r="AH278" i="5"/>
  <c r="AG279" i="5"/>
  <c r="AO282" i="5" l="1"/>
  <c r="AN283" i="5"/>
  <c r="AH279" i="5"/>
  <c r="AG280" i="5"/>
  <c r="AO283" i="5" l="1"/>
  <c r="AN284" i="5"/>
  <c r="AH280" i="5"/>
  <c r="AG281" i="5"/>
  <c r="AO284" i="5" l="1"/>
  <c r="AN285" i="5"/>
  <c r="AH281" i="5"/>
  <c r="AG282" i="5"/>
  <c r="AO285" i="5" l="1"/>
  <c r="AN286" i="5"/>
  <c r="AH282" i="5"/>
  <c r="AG283" i="5"/>
  <c r="AO286" i="5" l="1"/>
  <c r="AN287" i="5"/>
  <c r="AH283" i="5"/>
  <c r="AG284" i="5"/>
  <c r="AO287" i="5" l="1"/>
  <c r="AN288" i="5"/>
  <c r="AH284" i="5"/>
  <c r="AG285" i="5"/>
  <c r="AO288" i="5" l="1"/>
  <c r="AN289" i="5"/>
  <c r="AO289" i="5" s="1"/>
  <c r="AH285" i="5"/>
  <c r="AG286" i="5"/>
  <c r="AN290" i="5" l="1"/>
  <c r="AH286" i="5"/>
  <c r="AG287" i="5"/>
  <c r="AO290" i="5" l="1"/>
  <c r="AN291" i="5"/>
  <c r="AN188" i="5" s="1"/>
  <c r="AH287" i="5"/>
  <c r="AG288" i="5"/>
  <c r="AO291" i="5" l="1"/>
  <c r="AO188" i="5" s="1"/>
  <c r="H25" i="4"/>
  <c r="AH288" i="5"/>
  <c r="AG289" i="5"/>
  <c r="AH289" i="5" l="1"/>
  <c r="AG290" i="5"/>
  <c r="AH290" i="5" l="1"/>
  <c r="AG291" i="5"/>
  <c r="AG188" i="5" s="1"/>
  <c r="AH291" i="5" l="1"/>
  <c r="AH188" i="5" s="1"/>
  <c r="G25" i="4"/>
</calcChain>
</file>

<file path=xl/sharedStrings.xml><?xml version="1.0" encoding="utf-8"?>
<sst xmlns="http://schemas.openxmlformats.org/spreadsheetml/2006/main" count="489" uniqueCount="416">
  <si>
    <t>Energie</t>
  </si>
  <si>
    <t>Nutzung und Lebensdauer</t>
  </si>
  <si>
    <t>Anfangsinvestition</t>
  </si>
  <si>
    <t>Betrieb inkl. Wartung</t>
  </si>
  <si>
    <t>&lt;Auswahl&gt;</t>
  </si>
  <si>
    <t>Material</t>
  </si>
  <si>
    <t>Energie1</t>
  </si>
  <si>
    <t>Energie2</t>
  </si>
  <si>
    <t>Energie3</t>
  </si>
  <si>
    <t>Kalk. Zins</t>
  </si>
  <si>
    <t>Aufzinsung</t>
  </si>
  <si>
    <t>Variante1</t>
  </si>
  <si>
    <t>Variante2</t>
  </si>
  <si>
    <t>Nutzungsdauer</t>
  </si>
  <si>
    <t>max.Betrachtung</t>
  </si>
  <si>
    <t>relevant</t>
  </si>
  <si>
    <t>Material für Betrieb pro Jahr (€/a)</t>
  </si>
  <si>
    <t>Kapitalwertfaktor</t>
  </si>
  <si>
    <t>Kapitalwertfaktor jähr. Zahlungen V1</t>
  </si>
  <si>
    <t>Kapitalwertfaktor jähr. Zahlungen V2</t>
  </si>
  <si>
    <t>Kapitalwertfaktor Zahlungen am Ende Lebensdauer</t>
  </si>
  <si>
    <t>Ersatz</t>
  </si>
  <si>
    <t>Jahr</t>
  </si>
  <si>
    <t>Kaufpreis aller Komponenten (€) - heute</t>
  </si>
  <si>
    <t>Personal</t>
  </si>
  <si>
    <t>Ersatz/Jahr</t>
  </si>
  <si>
    <t>Anzahl Ersatz</t>
  </si>
  <si>
    <t>Ersatzinvest</t>
  </si>
  <si>
    <t>Kapitalwertfaktor Entsorgung und Ersatzinvestition</t>
  </si>
  <si>
    <t>Anzahl:</t>
  </si>
  <si>
    <t>Investition</t>
  </si>
  <si>
    <t>Energieverbrauch</t>
  </si>
  <si>
    <t>KP/Anlieferung</t>
  </si>
  <si>
    <t>Summe</t>
  </si>
  <si>
    <t>Start-Invest</t>
  </si>
  <si>
    <t>Kumuliert</t>
  </si>
  <si>
    <t>Ersatzkomponenten - Preis von heute</t>
  </si>
  <si>
    <t>CF Energie-erzeugung</t>
  </si>
  <si>
    <t>CF Entsorgung</t>
  </si>
  <si>
    <t>Eingabe: Leistungsbereitstellung (kW)</t>
  </si>
  <si>
    <t>oder direkt: Erzeugung  pro Jahr (kWh/a)</t>
  </si>
  <si>
    <t>Energieerzeugung pro Jahr</t>
  </si>
  <si>
    <t>Darstellung der Cash Flows über die Zeit</t>
  </si>
  <si>
    <t>kwf</t>
  </si>
  <si>
    <t>Betriebsstunden/Jahr (h/a)</t>
  </si>
  <si>
    <t>Lebensdauer an Betriebsstunden(h)</t>
  </si>
  <si>
    <t>Ersatzinvest. im Betrachtungszeitraum</t>
  </si>
  <si>
    <t>Kennzahlen</t>
  </si>
  <si>
    <t>Tabellenblatt 4</t>
  </si>
  <si>
    <t>Ersatzinvestition: Preisänderung (%)</t>
  </si>
  <si>
    <t>Person</t>
  </si>
  <si>
    <t>Material für Wartung: Preisänderung (%)</t>
  </si>
  <si>
    <t>Installationskosten (€)</t>
  </si>
  <si>
    <t>Ist-Situation</t>
  </si>
  <si>
    <t>Maßnahme</t>
  </si>
  <si>
    <t>geschätzte Lohnänderung</t>
  </si>
  <si>
    <t>Berechnung Ersatz inkl. Personal</t>
  </si>
  <si>
    <t>geschätzte Preisänderung (% pro Jahr)</t>
  </si>
  <si>
    <t>Name</t>
  </si>
  <si>
    <t>Kalkulatorischer Zinssatz (% pro Jahr).</t>
  </si>
  <si>
    <t>Gesamt</t>
  </si>
  <si>
    <t>Leistung</t>
  </si>
  <si>
    <t>Eingabe- bzw. Auswahlfeld</t>
  </si>
  <si>
    <t>Purchase price, installation…(€)</t>
  </si>
  <si>
    <t>Time Effort for employees in hours (h)</t>
  </si>
  <si>
    <t>Hours</t>
  </si>
  <si>
    <t>white fields show results</t>
  </si>
  <si>
    <t xml:space="preserve">Welcome to the Profitability Calculator                                                                           Here you can easily and quickly evaluate investment opportunities                                                                                                                                                          </t>
  </si>
  <si>
    <t>Operating hours / year (h/a)</t>
  </si>
  <si>
    <t>Hours/year</t>
  </si>
  <si>
    <t>Select kind of evaluation and amount of years considered in planning</t>
  </si>
  <si>
    <t xml:space="preserve">Indicators for evaluating business case                                                                                    </t>
  </si>
  <si>
    <t>Dates</t>
  </si>
  <si>
    <t>Savings</t>
  </si>
  <si>
    <t>Costs</t>
  </si>
  <si>
    <t>Electricity</t>
  </si>
  <si>
    <t>Hans</t>
  </si>
  <si>
    <t>Show all costs of situation before measure</t>
  </si>
  <si>
    <t>Show all costs of situation after the measure</t>
  </si>
  <si>
    <t>Show comparison between situation after and before the measure</t>
  </si>
  <si>
    <t>hourly rate (€/h)</t>
  </si>
  <si>
    <t>Discounted Cash-Flows</t>
  </si>
  <si>
    <t>Non-discounted Cash-Flows</t>
  </si>
  <si>
    <t>Initial Time Effort for employees in hours (h)</t>
  </si>
  <si>
    <t>Further Time Effort for employees for Maintenance,... in hours per year (h/a)</t>
  </si>
  <si>
    <t>Enter Further Costs (e. g. Maintenance)</t>
  </si>
  <si>
    <t>Life Cycle</t>
  </si>
  <si>
    <t>Costs at end of lifetime [€]</t>
  </si>
  <si>
    <t>Lifetime in operating hours [h]</t>
  </si>
  <si>
    <t>Further Costs per year [€]</t>
  </si>
  <si>
    <t>Target</t>
  </si>
  <si>
    <t>Expected Price Change</t>
  </si>
  <si>
    <t>Investment</t>
  </si>
  <si>
    <t>Settings</t>
  </si>
  <si>
    <t>Energy Costs consider a price change per year of</t>
  </si>
  <si>
    <t>discount factor</t>
  </si>
  <si>
    <t>yes/no</t>
  </si>
  <si>
    <t>no pay back</t>
  </si>
  <si>
    <t>In Formulas</t>
  </si>
  <si>
    <t>Operating hours</t>
  </si>
  <si>
    <t>Present Values of current situation</t>
  </si>
  <si>
    <t>Present Values of measure</t>
  </si>
  <si>
    <t>Indicators are considered until end of year</t>
  </si>
  <si>
    <t>Cash Flows are deducted by imputed interest rate per year of</t>
  </si>
  <si>
    <t>Initial</t>
  </si>
  <si>
    <t xml:space="preserve">Entries </t>
  </si>
  <si>
    <t>Pay back time (time until Savings refinance initial investment)</t>
  </si>
  <si>
    <t>Total Present Value (how much are the future savings worth today)</t>
  </si>
  <si>
    <t>Annuity (Present Value devided by years cinsidered in planning)</t>
  </si>
  <si>
    <t>Internal Rate of Revenue (expressed as a yield at a bank account)</t>
  </si>
  <si>
    <t>ROI (Total Present Value devided by initial investment)</t>
  </si>
  <si>
    <t>IRR Calculation</t>
  </si>
  <si>
    <t>imputed interest</t>
  </si>
  <si>
    <t>energy price</t>
  </si>
  <si>
    <t>energies</t>
  </si>
  <si>
    <t>price change</t>
  </si>
  <si>
    <t>English</t>
  </si>
  <si>
    <t>German</t>
  </si>
  <si>
    <t>Investment Calculator</t>
  </si>
  <si>
    <t>Target Situation</t>
  </si>
  <si>
    <t>Reference Situation</t>
  </si>
  <si>
    <t>Cummulated Sum of</t>
  </si>
  <si>
    <t>All</t>
  </si>
  <si>
    <t>Discounted</t>
  </si>
  <si>
    <t>Discounted by</t>
  </si>
  <si>
    <t>End of year</t>
  </si>
  <si>
    <t>Select Language</t>
  </si>
  <si>
    <t>in comparison to:</t>
  </si>
  <si>
    <t>Profitability Assessment for:</t>
  </si>
  <si>
    <t>Pay back time in years (time until Savings refinance investment)</t>
  </si>
  <si>
    <t>Annuity (Present Value devided by years)</t>
  </si>
  <si>
    <t>Average Power Demand over year (kW)</t>
  </si>
  <si>
    <t>Gas</t>
  </si>
  <si>
    <t>(Amount of Refurbishments)</t>
  </si>
  <si>
    <t>Costs for all Refurbishments</t>
  </si>
  <si>
    <t>Status in Table "Entries"</t>
  </si>
  <si>
    <t>Status in Table "Results"</t>
  </si>
  <si>
    <t>Enter Energy tarifs</t>
  </si>
  <si>
    <t>Enter the Energy Efficiency Measure</t>
  </si>
  <si>
    <t>Power Consumtion</t>
  </si>
  <si>
    <t>Energy Consumtion</t>
  </si>
  <si>
    <t>Profitability</t>
  </si>
  <si>
    <t>Until year</t>
  </si>
  <si>
    <t>years</t>
  </si>
  <si>
    <t>Savings for the year</t>
  </si>
  <si>
    <t>Savings regarding Energy Consumtion</t>
  </si>
  <si>
    <t>further Savings</t>
  </si>
  <si>
    <t>Savings regarding Reinvestments</t>
  </si>
  <si>
    <t>Energy Sources</t>
  </si>
  <si>
    <t>Energy Price (Ct./kWh)</t>
  </si>
  <si>
    <t>Description</t>
  </si>
  <si>
    <t>Enter Energy consumtion</t>
  </si>
  <si>
    <t>Enter Investment Data</t>
  </si>
  <si>
    <t>Remark: Entered price change become effective from the second year onwards as it is assumed that the price is fixed for the first year</t>
  </si>
  <si>
    <t>Remark: We developed this tool under best knowledge. But we are not liable for anything</t>
  </si>
  <si>
    <t>Nederlands</t>
  </si>
  <si>
    <t>Español</t>
  </si>
  <si>
    <t>Francés</t>
  </si>
  <si>
    <t>Questions? Contact Author:</t>
  </si>
  <si>
    <t>Georg Ratjen (Georg.Ratjen@gmail.com)</t>
  </si>
  <si>
    <t>IRR is negative</t>
  </si>
  <si>
    <t>Translation Table that can be filled out by INDUCE consortium. This table will be hidden in the Excel file when completed.</t>
  </si>
  <si>
    <t>Net Present Value (how much are all future cash flows worth today)</t>
  </si>
  <si>
    <t>ROI (here: Net Present Value devided by initial investment)</t>
  </si>
  <si>
    <t>Georg Ratjen</t>
  </si>
  <si>
    <t>Georg.Ratjen@oekotec.de</t>
  </si>
  <si>
    <t>Disclaimer</t>
  </si>
  <si>
    <t>Haftungsausschluss</t>
  </si>
  <si>
    <t>Copyright and rights of use</t>
  </si>
  <si>
    <t xml:space="preserve">Urheberrecht und Nutzungsrechte:     </t>
  </si>
  <si>
    <t>Author</t>
  </si>
  <si>
    <t>E-Mail</t>
  </si>
  <si>
    <t xml:space="preserve">Alle Urheberrechte für diese Software liegen bei der Firma ÖKOTEC Energiemanagement GmbH, Torgauer Straße 12-15, 10829 Berlin, die diese Software im Rahmen des INDUCE Projekts entwickelt hat. Den Teilnehmerinnen und Teilnehmern von Trainings, in denen dieses Tool eingesetzt wird, wird die weitere Nutzung dieser Software innerhalb ihres eigenen Unternehmens gestattet. Der Einsatz für die Beratung von Dritten ist nicht zugelassen. Veränderungen am Tool dürfen nicht ohne ausdrückliche vorherige Zustimmung von Seiten der ÖKOTEC Energiemanagement GmbH vorgenommen werden. Eine Weitergabe dieser Software an Dritte außerhalb des INDUCE Projekts ist nicht ohne ausdrückliche vorherige Zustimmung von Seiten der ÖKOTEC Energiemanagement GmbH gestattet.
</t>
  </si>
  <si>
    <t>The use of this software is intended exclusively for training purposes within the framework of the INDUCE project.
No liability is assumed for the results/calculations, unless ÖKOTEC has acted with intent or gross negligence in providing the results.</t>
  </si>
  <si>
    <t>All copyrights for this software are held by ÖKOTEC Energiemanagement GmbH, Torgauer Straße 12-15, 10829 Berlin, Germany, which developed this software as part of the INDUCE project. The participants of trainings in which this tool is used are allowed to continue using this software within their own company. The use for consulting of third parties is not permitted. Changes to the tool may not be made without the express prior consent of ÖKOTEC Energiemanagement GmbH. The transfer of this software to third parties outside the INDUCE project is not permitted without the express prior consent of ÖKOTEC Energiemanagement GmbH.</t>
  </si>
  <si>
    <t>Washing Plant</t>
  </si>
  <si>
    <t>Washing Plant with heat regeneration, eff. pumps</t>
  </si>
  <si>
    <t>Sum of Energy Costs</t>
  </si>
  <si>
    <t>Sum of Further Costs</t>
  </si>
  <si>
    <t>Comparison (whole timeframe)</t>
  </si>
  <si>
    <t>Internal Rate of Return (yield, that would bring the same profitability)</t>
  </si>
  <si>
    <t>Investerings Calculator</t>
  </si>
  <si>
    <t>Selecteer  taal</t>
  </si>
  <si>
    <t>Vul energie tarief in</t>
  </si>
  <si>
    <t>Energie bronnen</t>
  </si>
  <si>
    <t>Energie prijs (Ct/kWh)</t>
  </si>
  <si>
    <t>Efficiëntie Maatregel invullen</t>
  </si>
  <si>
    <t>Referentie situatie</t>
  </si>
  <si>
    <t>Doelsituatie</t>
  </si>
  <si>
    <t>Beschrijving</t>
  </si>
  <si>
    <t>Naam</t>
  </si>
  <si>
    <t>Operationele uren / jaar (u/j)</t>
  </si>
  <si>
    <t>Vul investerings gegevens in</t>
  </si>
  <si>
    <t>Aankoop prijs, installatie… (€)</t>
  </si>
  <si>
    <t>Vul energie consumptie in</t>
  </si>
  <si>
    <t>Gemiddeld stroomverbruik per jaar (kW)</t>
  </si>
  <si>
    <t>Invullen overige kosten (bijv. onderhoud)</t>
  </si>
  <si>
    <t>Overige kosten per jaar (€)</t>
  </si>
  <si>
    <t>Levenscyclus</t>
  </si>
  <si>
    <t>Kosten aan einde levensduur (€)</t>
  </si>
  <si>
    <t>Levensduur in operationele uren (u)</t>
  </si>
  <si>
    <t>Beoordeling winstgevendheid voor:</t>
  </si>
  <si>
    <t>In vergelijking tot</t>
  </si>
  <si>
    <t>Instellingen</t>
  </si>
  <si>
    <t>Indicatoren worden in aanmerking genomen tot einde van jaar</t>
  </si>
  <si>
    <t>Incalculeren jaarlijkse prijs verandering van</t>
  </si>
  <si>
    <t>Kasstroom vermindering op basis van toegerekende rente per jaar van</t>
  </si>
  <si>
    <t xml:space="preserve">Indicatoren voor business case evaluatie </t>
  </si>
  <si>
    <t xml:space="preserve">Terugverdientijd in jaren (tijd totdat de besparingen de investeringen eruit hebben gehaald) </t>
  </si>
  <si>
    <t>Netto contante waarde (wat zijn alle toekomstige kasstromen vandaag waard)</t>
  </si>
  <si>
    <t>Annuïteit (Huidige waarde gedeeld door jaren)</t>
  </si>
  <si>
    <t>Intern opbrengst percentage (opbrengst, die dezelfde winstgevendheid zou opleveren)</t>
  </si>
  <si>
    <t>ROI (hier: Netto contante waarde gedeeld door initiële investering)</t>
  </si>
  <si>
    <t>Vergelijking (gehele tijdsperiode)</t>
  </si>
  <si>
    <t>Investering</t>
  </si>
  <si>
    <t>Totaal energie kosten</t>
  </si>
  <si>
    <t>Totaal overige kosten</t>
  </si>
  <si>
    <t>Kosten voor alle verbouwingen</t>
  </si>
  <si>
    <t>(bedrag verbouwingen)</t>
  </si>
  <si>
    <t>Data</t>
  </si>
  <si>
    <t>Noot: ingevoerde prijswijziging wordt van kracht vanaf het tweede jaar, aangezien wordt aangenomen dat de prijs vast is voor het eerste jaar</t>
  </si>
  <si>
    <t>Noot: we hebben deze tool met de beste kennis ontwikkeld. Maar we zijn nergens aansprakelijk voor.</t>
  </si>
  <si>
    <t>Gecumuleerd totaal</t>
  </si>
  <si>
    <t>Verdisconteerde</t>
  </si>
  <si>
    <t>Besparingen</t>
  </si>
  <si>
    <t>Alle</t>
  </si>
  <si>
    <t>Besparingen per jaar</t>
  </si>
  <si>
    <t>Besparingen met betrekking tot energieverbruik</t>
  </si>
  <si>
    <t>Overige besparingen</t>
  </si>
  <si>
    <t>Besparingen met herbeleggingen</t>
  </si>
  <si>
    <t>Verminderd met</t>
  </si>
  <si>
    <t>Einde jaar</t>
  </si>
  <si>
    <t>geen terugbetaling</t>
  </si>
  <si>
    <t>IRR is negatief</t>
  </si>
  <si>
    <t>Vragen? Contact auteur:</t>
  </si>
  <si>
    <t>Het gebruik van deze software is uitsluitend bedoeld voor trainingsdoeleinden in het kader van het INDUCE-project.
Er wordt geen aansprakelijkheid aanvaard voor de resultaten / berekeningen, tenzij ÖKOTEC heeft gehandeld met opzet of grove nalatigheid bij het verstrekken van de resultaten.</t>
  </si>
  <si>
    <t>Auteursrecht en gebruiksrechten</t>
  </si>
  <si>
    <t>Alle auteursrechten voor deze software berusten bij ÖKOTEC Energiemanagement GmbH, Torgauer Straße 12-15, 10829 Berlijn, Duitsland, dat deze software heeft ontwikkeld als onderdeel van het INDUCE-project. De deelnemers aan trainingen waarin deze tool wordt gebruikt, mogen deze software binnen hun eigen bedrijf blijven gebruiken. Het gebruik voor het adviseren van derden is niet toegestaan. Wijzigingen in het hulpmiddel mogen niet worden aangebracht zonder de uitdrukkelijke voorafgaande toestemming van ÖKOTEC Energiemanagement GmbH. De overdracht van deze software aan derden buiten het INDUCE-project is niet toegestaan zonder de uitdrukkelijke voorafgaande toestemming van ÖKOTEC Energiemanagement GmbH.</t>
  </si>
  <si>
    <t>Auteur</t>
  </si>
  <si>
    <t>Email</t>
  </si>
  <si>
    <t>Investitionsrechner</t>
  </si>
  <si>
    <t>Sprache auswählen</t>
  </si>
  <si>
    <t>Energietarife eingeben</t>
  </si>
  <si>
    <t>Energiequellen</t>
  </si>
  <si>
    <t>Energiepreis (Ct./kWh)</t>
  </si>
  <si>
    <t>Eingabe der Energieeffizienzmaßnahme</t>
  </si>
  <si>
    <t>Referenzsituation</t>
  </si>
  <si>
    <t>Zielsituation</t>
  </si>
  <si>
    <t>Beschreibung</t>
  </si>
  <si>
    <t>Betriebsstunden / Jahr (h/a)</t>
  </si>
  <si>
    <t>Beteiligungsdaten eingeben</t>
  </si>
  <si>
    <t>Kaufpreis, Installation....(€)</t>
  </si>
  <si>
    <t>Energieverbrauch eingeben</t>
  </si>
  <si>
    <t>Durchschnittlicher Leistungsbedarf über das Jahr (kW)</t>
  </si>
  <si>
    <t>Weitere Kosten eingeben (z. B. Wartung)</t>
  </si>
  <si>
    <t>Weitere Kosten pro Jahr[€]</t>
  </si>
  <si>
    <t>Lebenszyklus</t>
  </si>
  <si>
    <t>Kosten am Ende der Lebensdauer[€]</t>
  </si>
  <si>
    <t>Lebensdauer in Betriebsstunden[h]</t>
  </si>
  <si>
    <t>Wirtschaftlichkeitsbewertung für:</t>
  </si>
  <si>
    <t>im Vergleich zu:</t>
  </si>
  <si>
    <t>Einstellungen</t>
  </si>
  <si>
    <t>Indikatoren werden bis zum Ende des Jahres berücksichtigt.</t>
  </si>
  <si>
    <t>Die Energiekosten berücksichtigen eine Preisänderung pro Jahr von</t>
  </si>
  <si>
    <t>Der Geldfluss mit dem kalkulatorischen Zinssatz pro Jahr abgezogen</t>
  </si>
  <si>
    <t xml:space="preserve">Indikatoren für die Auswertung von Business Cases                                                                                    </t>
  </si>
  <si>
    <t>Amortisationszeit in Jahren (Zeit bis zur Refinanzierung der Investitionen durch das Sparen)</t>
  </si>
  <si>
    <t>Vergleich (gesamtes Zeitfenster)</t>
  </si>
  <si>
    <t>Summe der Energiekosten</t>
  </si>
  <si>
    <t>Summe der weiteren Kosten</t>
  </si>
  <si>
    <t>Kosten für alle Aufarbeitungen</t>
  </si>
  <si>
    <t>(Anzahl der Aufarbeitungen)</t>
  </si>
  <si>
    <t>Daten</t>
  </si>
  <si>
    <t>Anmerkung: Die eingegebene Preisänderung tritt ab dem zweiten Jahr in Kraft, da davon ausgegangen wird, dass der Preis für das erste Jahr fest ist.</t>
  </si>
  <si>
    <t>Anmerkung: Wir haben dieses Tool nach bestem Wissen und Gewissen entwickelt. Aber wir übernehmen grundsätzlich keine Haftung</t>
  </si>
  <si>
    <t>Kumulierte Summe aus</t>
  </si>
  <si>
    <t>Ermäßigt</t>
  </si>
  <si>
    <t>Vergünstigt</t>
  </si>
  <si>
    <t>Ersparnisse</t>
  </si>
  <si>
    <t xml:space="preserve">Alle  </t>
  </si>
  <si>
    <t>Einsparungen für das Jahr</t>
  </si>
  <si>
    <t>Einsparungen beim Energieverbrauch</t>
  </si>
  <si>
    <t>weitere Einsparungen</t>
  </si>
  <si>
    <t>Einsparungen bei Reinvestitionen</t>
  </si>
  <si>
    <t>Vergünstigung gewährt duch</t>
  </si>
  <si>
    <t>Jahresende</t>
  </si>
  <si>
    <t>keine Rückzahlung</t>
  </si>
  <si>
    <t>Zinsrisiko ist negativ</t>
  </si>
  <si>
    <t>Fragen? Kontaktieren Sie den Autor:</t>
  </si>
  <si>
    <t>Die Verwendung dieser Software ist ausschließlich zu Zwecken der Schulung im Rahmen des Projekts INDUCE bestimmt.
Eine Haftung für die Ergebnisse/Berechnungen wird nicht übernommen, sofern in der Bereitstellung des Ergebnisses kein Vorsatz oder grobe Fahrlässigkeit von Seiten ÖKOTEC liegt.</t>
  </si>
  <si>
    <t>Autor</t>
  </si>
  <si>
    <t>Annuität (Barwert geteilt durch Jahre)</t>
  </si>
  <si>
    <t>Kapitalwert (wie viel sind alle zukünftigen Cashflows heute wert)</t>
  </si>
  <si>
    <t>Interner Zinsfuß (Zins, der die gleiche Rentabilität bringen würde)</t>
  </si>
  <si>
    <t>ROI (hier: Barwert dividiert durch die Erstinvestition)</t>
  </si>
  <si>
    <t>or: Energy Consumption per year (kWh/a)</t>
  </si>
  <si>
    <t>oder: Energieverbrauch pro Jahr (kWh/a)</t>
  </si>
  <si>
    <t>of: Energie consumptie per jaar (kWh/j)</t>
  </si>
  <si>
    <t>Calculateur d'investissement</t>
  </si>
  <si>
    <t>Choisir la langue</t>
  </si>
  <si>
    <t>Entrez les tarifs énergétiques</t>
  </si>
  <si>
    <t>Sources d'énergie</t>
  </si>
  <si>
    <t>Prix ​​de l'énergie (ct./kWh)</t>
  </si>
  <si>
    <t>Entrez la mesure d'efficacité énergétique</t>
  </si>
  <si>
    <t>Situation de référence</t>
  </si>
  <si>
    <t>Situation cible</t>
  </si>
  <si>
    <t>La description</t>
  </si>
  <si>
    <t>Nom</t>
  </si>
  <si>
    <t>Heures de fonctionnement / an (h / a)</t>
  </si>
  <si>
    <t>Entrer les données d'investissement</t>
  </si>
  <si>
    <t>Prix ​​d'achat, installation ... (€)</t>
  </si>
  <si>
    <t>Entrez la consommation d'énergie</t>
  </si>
  <si>
    <t>Demande de puissance moyenne sur l'année (kW)</t>
  </si>
  <si>
    <t>Consommation d'énergie par an (kWh / a)</t>
  </si>
  <si>
    <t>Entrer d'autres coûts (maintenance)</t>
  </si>
  <si>
    <t>Frais supplémentaires par an [€]</t>
  </si>
  <si>
    <t>Cycle de vie</t>
  </si>
  <si>
    <t>Coûts en fin de vie [€]</t>
  </si>
  <si>
    <t>Durée de vie en heures de fonctionnement [h]</t>
  </si>
  <si>
    <t>Evaluation de la rentabilité pour:
en comparaison à:</t>
  </si>
  <si>
    <t>en comparaison à:</t>
  </si>
  <si>
    <t>Réglages</t>
  </si>
  <si>
    <t>Les indicateurs sont pris en compte jusqu'à la fin de l'année</t>
  </si>
  <si>
    <t>Coûts d'énergie</t>
  </si>
  <si>
    <t>Les flux de trésorerie sont déduits selon le taux d’intérêt théorique par année de</t>
  </si>
  <si>
    <t>Indicateurs d'évaluation de l'analyse de rentabilisation</t>
  </si>
  <si>
    <t>Temps de remboursement en années (temps écoulé jusqu'à l'investissement de réinvestissement d'épargne)</t>
  </si>
  <si>
    <t>Valeur actuelle nette (combien représentent tous les flux de trésorerie aujourd'hui)</t>
  </si>
  <si>
    <t>Rente (valeur actuelle divisée par années)</t>
  </si>
  <si>
    <t>Taux de revenu interne (rendement qui apporterait la même rentabilité)</t>
  </si>
  <si>
    <t>ROI (ici: valeur actuelle nette divisée par l'investissement initial)</t>
  </si>
  <si>
    <t>Comparaison (période entière)</t>
  </si>
  <si>
    <t>Investissement</t>
  </si>
  <si>
    <t>Somme des coûts d'énergie</t>
  </si>
  <si>
    <t>Somme des coûts supplémentaires</t>
  </si>
  <si>
    <t>Coûts pour toutes les rénovations</t>
  </si>
  <si>
    <t>(Montant des rénovations)</t>
  </si>
  <si>
    <t>Remarque: la modification de prix entrée sera effective à partir de la deuxième année car il est supposé que le prix est fixé pour la première année.</t>
  </si>
  <si>
    <t>Remarque: Nous avons développé cet outil en connaissance de cause. Mais nous ne sommes responsables de rien.</t>
  </si>
  <si>
    <t>Somme Cumulée de</t>
  </si>
  <si>
    <t>Remise</t>
  </si>
  <si>
    <t>Économies</t>
  </si>
  <si>
    <t>Tous</t>
  </si>
  <si>
    <t>Tout</t>
  </si>
  <si>
    <t>Économies pour l'année</t>
  </si>
  <si>
    <t>Économies sur la consommation d'énergie</t>
  </si>
  <si>
    <t>Autres économies</t>
  </si>
  <si>
    <t>Économies relatives aux réinvestissements</t>
  </si>
  <si>
    <t>Remise par</t>
  </si>
  <si>
    <t>Fin d'année</t>
  </si>
  <si>
    <t>pas de remboursement</t>
  </si>
  <si>
    <t>Le TRI est négatif</t>
  </si>
  <si>
    <t>Des questions?  Contact de l'auteur:</t>
  </si>
  <si>
    <t>Clause de non-responsabilité</t>
  </si>
  <si>
    <t>L'utilisation de ce logiciel est destinée aux objectifs du projet INDUCE. 
Aucune responsabilité n'est assumée pour les résultats / calculs, à moins que OKOTEC ait agi avec intention ou par négligence grave en fournissant des résultats.</t>
  </si>
  <si>
    <t>Copyright et droits d'usage</t>
  </si>
  <si>
    <t>Tous les droits d'auteur sur ce logiciel sont détenus par ÖKOTEC Energiemanagement GmbH, Torgauer Straße 12-15, 10829 Berlin, Allemagne, qui a développé ce logiciel dans le cadre du projet INDUCE. 
Les participants aux formations dans lesquelles cet outil est utilisé sont autorisés à continuer à utiliser ce logiciel au sein de leur propre entreprise. L'utilisation pour la consultation de tiers n'est pas autorisée. Aucune modification de l'outil ne peut être effectuée sans l'accord préalable exprès de ÖKOTEC Energiemanagement GmbH. 
Le transfert de ce logiciel à des tiers en dehors du projet INDUCE n'est pas autorisé sans l'accord préalable exprès de ÖKOTEC Energiemanagement GmbH.</t>
  </si>
  <si>
    <t>Calculadora de inversiones</t>
  </si>
  <si>
    <t>Seleccionar idioma</t>
  </si>
  <si>
    <t>Ingrese las tarifas de energía</t>
  </si>
  <si>
    <t>Fuentes de energía</t>
  </si>
  <si>
    <t>Precio de le energía (Ct./kWh)</t>
  </si>
  <si>
    <t>Ingrese la medida de eficiencia energética</t>
  </si>
  <si>
    <t>Situación de referencia</t>
  </si>
  <si>
    <t>Situación de objetivo</t>
  </si>
  <si>
    <t>Descripción</t>
  </si>
  <si>
    <t>Nombre</t>
  </si>
  <si>
    <t>Tiempo de funcionamiento horas/año (h/a)</t>
  </si>
  <si>
    <t>Introduzca datos de inversión</t>
  </si>
  <si>
    <t>Precio de compra, instalación… €</t>
  </si>
  <si>
    <t>Introduzca la energía de consumo</t>
  </si>
  <si>
    <t>Demanda media de energía durante el año (kW)</t>
  </si>
  <si>
    <t>Consumo de energía por año (kWh/a)</t>
  </si>
  <si>
    <t>Introducir otros costes (ejemplo: mantenimiento)</t>
  </si>
  <si>
    <t>Otros costes por año [€]</t>
  </si>
  <si>
    <t>Ciclo de vida</t>
  </si>
  <si>
    <t>Costes al final de la vida útil [€]</t>
  </si>
  <si>
    <t>Duración en horas de funcionamineto [h]</t>
  </si>
  <si>
    <t>Evaluación de rentabilidad para:</t>
  </si>
  <si>
    <t>en comparación con:</t>
  </si>
  <si>
    <t>Configuración</t>
  </si>
  <si>
    <t>Los indicadores se consideran hasta el final del año</t>
  </si>
  <si>
    <t xml:space="preserve">Se considera un cmabio de precio de costes de energia por año de </t>
  </si>
  <si>
    <t>Los flujos de efectivo se deducen por tipo de interés imputado por año de</t>
  </si>
  <si>
    <t>Indicadores para evaluar el caso de negocio</t>
  </si>
  <si>
    <t>Pay back en años (tiempo hasta la inversión en refinanciación de ahorros)</t>
  </si>
  <si>
    <t>Valor actual neto (cuanto valen hoy todos los flujos de egectivo futuros)</t>
  </si>
  <si>
    <t>Anualidad (valor actual desviado por años)</t>
  </si>
  <si>
    <t>Tasa interna de ingresos (rendimiento que traera la misma rentabilidad)</t>
  </si>
  <si>
    <t>ROI: (valor actual neto desviado por la inversión inicial)</t>
  </si>
  <si>
    <t>Comparación (período de tiempo completo)</t>
  </si>
  <si>
    <t>Inversión</t>
  </si>
  <si>
    <t>Suma de los costes de energía</t>
  </si>
  <si>
    <t>Suma de los costes adicionales</t>
  </si>
  <si>
    <t>Cotes de todas las reformas</t>
  </si>
  <si>
    <t>(Cantidad de reformas)</t>
  </si>
  <si>
    <t>Fechas</t>
  </si>
  <si>
    <t>Observación: el cambio de precio introducido entra en vigencia a partir del segundo año en adelante, ya que se asume que el precio se fija para el primer año</t>
  </si>
  <si>
    <t>Comentario: desarrollamos esta herramienta bajo el mejor conocimiento. Pero no somos responsables de nada</t>
  </si>
  <si>
    <t>Suma acumulada de</t>
  </si>
  <si>
    <t>Descuento</t>
  </si>
  <si>
    <t>Ahoros</t>
  </si>
  <si>
    <t>Todo</t>
  </si>
  <si>
    <t>Ahorros por año</t>
  </si>
  <si>
    <t>Ahorros en cuento a energía consumida</t>
  </si>
  <si>
    <t>Ahorros adicionales</t>
  </si>
  <si>
    <t>Ahorros en cuento a reinversiones</t>
  </si>
  <si>
    <t>Con descuento por</t>
  </si>
  <si>
    <t>Fin del año</t>
  </si>
  <si>
    <t>ningun pago de vuelta</t>
  </si>
  <si>
    <t>El IRR es negativo</t>
  </si>
  <si>
    <t>¿Preguntas? Contacto Autor:</t>
  </si>
  <si>
    <t>Negación de responsabilidades</t>
  </si>
  <si>
    <t>El uso de este software está destinado exclusivamente para fines de capacitación en el marco del proyecto INDUCE.
No se asume ninguna responsabilidad por los resultados / cálculos, a menos que ÖKOTEC haya actuado con intención o negligencia grave al proporcionar los resultados.</t>
  </si>
  <si>
    <t>Copyright y derechos de uso</t>
  </si>
  <si>
    <t>Todos los derechos de autor de este software están a cargo de ÖKOTEC Energiemanagement GmbH, Torgauer Straße 12-15, 10829 Berlin, Germany, que desarrolló este software como parte del proyecto INDUCE. Los participantes de los entrenamientos en los que se utiliza esta herramienta pueden continuar utilizando este software dentro de su propia empresa. No está permitido el uso para consulta de terceros. No se pueden realizar cambios en la herramienta sin el consentimiento previo expreso de ÖKOTEC Energiemanagement GmbH. La transferencia de este software a terceros fuera del proyecto INDUCE no está permitida sin el consentimiento previo expreso de ÖKOTEC Energiemanagement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</si>
</sst>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4" formatCode="_-* #,##0.00\ &quot;€&quot;_-;\-* #,##0.00\ &quot;€&quot;_-;_-* &quot;-&quot;??\ &quot;€&quot;_-;_-@_-"/>
    <numFmt numFmtId="164" formatCode="_-* #,##0.00\ _€_-;\-* #,##0.00\ _€_-;_-* &quot;-&quot;??\ _€_-;_-@_-"/>
    <numFmt numFmtId="165" formatCode="0.00\ &quot;kW&quot;"/>
    <numFmt numFmtId="166" formatCode="General\ &quot;€/h&quot;"/>
    <numFmt numFmtId="167" formatCode="0.00\ &quot;Ct./kWh&quot;"/>
    <numFmt numFmtId="168" formatCode="0.00\ &quot;h/a&quot;"/>
    <numFmt numFmtId="169" formatCode="#,##0\ &quot;€&quot;"/>
    <numFmt numFmtId="170" formatCode="0.00\ &quot;h&quot;"/>
    <numFmt numFmtId="171" formatCode="#,##0.00\ &quot;€/a&quot;"/>
    <numFmt numFmtId="172" formatCode="#,##0.00\ &quot;Jahre&quot;"/>
    <numFmt numFmtId="173" formatCode="#,##0.00\ &quot;€&quot;"/>
    <numFmt numFmtId="174" formatCode="#,##0\ &quot;kWh/a&quot;"/>
    <numFmt numFmtId="175" formatCode="#,##0\ &quot;€/a&quot;"/>
    <numFmt numFmtId="176" formatCode="0.000"/>
    <numFmt numFmtId="177" formatCode="#,##0.00\ &quot;€&quot;;[Red]#,##0.00\ &quot;€&quot;"/>
    <numFmt numFmtId="178" formatCode="0&quot;. Jahres&quot;"/>
    <numFmt numFmtId="179" formatCode="_-* #,##0.0000\ _€_-;\-* #,##0.0000\ _€_-;_-* &quot;-&quot;??\ _€_-;_-@_-"/>
    <numFmt numFmtId="180" formatCode="0.00%\ &quot;p.a.&quot;"/>
    <numFmt numFmtId="181" formatCode="0.00%\ &quot;(Betrachtungszeitraum)&quot;"/>
    <numFmt numFmtId="182" formatCode="0.00\ %\ &quot;p.a.&quot;"/>
    <numFmt numFmtId="183" formatCode="0.00\ &quot;€/a&quot;"/>
    <numFmt numFmtId="184" formatCode="0.00\ &quot;kWh/a&quot;"/>
    <numFmt numFmtId="185" formatCode="#,##0.00\ &quot;years&quot;"/>
    <numFmt numFmtId="186" formatCode="General&quot; times&quot;"/>
    <numFmt numFmtId="187" formatCode="&quot;End of year&quot;\ General"/>
    <numFmt numFmtId="188" formatCode="&quot;year&quot;\ General\ &quot;after investment&quot;"/>
    <numFmt numFmtId="189" formatCode="&quot;(&quot;\ 0\ &quot;times )&quot;"/>
    <numFmt numFmtId="190" formatCode="#,##0.00\ &quot;kWh&quot;"/>
    <numFmt numFmtId="191" formatCode="_-* #,##0\ _€_-;\-* #,##0\ _€_-;_-* &quot;-&quot;??\ _€_-;_-@_-"/>
    <numFmt numFmtId="192" formatCode="#,##0\ &quot;h&quot;"/>
    <numFmt numFmtId="193" formatCode="_-* #,##0\ &quot;€&quot;_-;\-* #,##0\ &quot;€&quot;_-;_-* &quot;-&quot;??\ &quot;€&quot;_-;_-@_-"/>
    <numFmt numFmtId="196" formatCode="_-* #,##0.00\ &quot;€&quot;_-;\-* #,##0.00\ &quot;€&quot;_-;_-* &quot;-&quot;??\ &quot;€&quot;_-;_-@_-"/>
  </numFmts>
  <fonts count="69" x14ac:knownFonts="1">
    <font>
      <sz val="11"/>
      <color theme="1"/>
      <name val="Calibri"/>
      <family val="2"/>
      <scheme val="minor"/>
    </font>
    <font>
      <sz val="11"/>
      <name val="Arial"/>
      <family val="2"/>
    </font>
    <font>
      <sz val="11"/>
      <color indexed="63"/>
      <name val="Arial"/>
      <family val="2"/>
    </font>
    <font>
      <sz val="11"/>
      <color indexed="8"/>
      <name val="Arial"/>
      <family val="2"/>
    </font>
    <font>
      <b/>
      <sz val="11"/>
      <color indexed="9"/>
      <name val="Arial"/>
      <family val="2"/>
    </font>
    <font>
      <b/>
      <sz val="11"/>
      <color indexed="8"/>
      <name val="Arial"/>
      <family val="2"/>
    </font>
    <font>
      <b/>
      <sz val="11"/>
      <name val="Arial"/>
      <family val="2"/>
    </font>
    <font>
      <sz val="11"/>
      <color indexed="8"/>
      <name val="Calibri"/>
      <family val="2"/>
    </font>
    <font>
      <b/>
      <sz val="11"/>
      <color indexed="8"/>
      <name val="Calibri"/>
      <family val="2"/>
    </font>
    <font>
      <b/>
      <sz val="12"/>
      <color indexed="8"/>
      <name val="Calibri"/>
      <family val="2"/>
    </font>
    <font>
      <sz val="11"/>
      <color indexed="8"/>
      <name val="Arial"/>
      <family val="2"/>
    </font>
    <font>
      <sz val="9"/>
      <color indexed="8"/>
      <name val="Arial"/>
      <family val="2"/>
    </font>
    <font>
      <sz val="11"/>
      <color indexed="63"/>
      <name val="Arial"/>
      <family val="2"/>
    </font>
    <font>
      <b/>
      <sz val="9"/>
      <color indexed="8"/>
      <name val="Arial"/>
      <family val="2"/>
    </font>
    <font>
      <sz val="11"/>
      <color indexed="47"/>
      <name val="Arial"/>
      <family val="2"/>
    </font>
    <font>
      <b/>
      <sz val="11"/>
      <color indexed="9"/>
      <name val="Arial"/>
      <family val="2"/>
    </font>
    <font>
      <sz val="12"/>
      <color indexed="20"/>
      <name val="Calibri"/>
      <family val="2"/>
    </font>
    <font>
      <sz val="11"/>
      <color indexed="20"/>
      <name val="Arial"/>
      <family val="2"/>
    </font>
    <font>
      <sz val="11"/>
      <color indexed="9"/>
      <name val="Arial"/>
      <family val="2"/>
    </font>
    <font>
      <sz val="9"/>
      <color indexed="47"/>
      <name val="Arial"/>
      <family val="2"/>
    </font>
    <font>
      <sz val="11"/>
      <color indexed="56"/>
      <name val="Arial"/>
      <family val="2"/>
    </font>
    <font>
      <b/>
      <sz val="12"/>
      <color indexed="8"/>
      <name val="Arial"/>
      <family val="2"/>
    </font>
    <font>
      <b/>
      <sz val="11"/>
      <color indexed="63"/>
      <name val="Arial"/>
      <family val="2"/>
    </font>
    <font>
      <sz val="12"/>
      <color indexed="8"/>
      <name val="Arial"/>
      <family val="2"/>
    </font>
    <font>
      <b/>
      <sz val="11"/>
      <color indexed="60"/>
      <name val="Arial"/>
      <family val="2"/>
    </font>
    <font>
      <b/>
      <sz val="11"/>
      <color indexed="60"/>
      <name val="Calibri"/>
      <family val="2"/>
    </font>
    <font>
      <sz val="8"/>
      <name val="Calibri"/>
      <family val="2"/>
    </font>
    <font>
      <i/>
      <sz val="12"/>
      <color indexed="8"/>
      <name val="Arial"/>
      <family val="2"/>
    </font>
    <font>
      <b/>
      <sz val="10"/>
      <color indexed="8"/>
      <name val="Arial"/>
      <family val="2"/>
    </font>
    <font>
      <b/>
      <sz val="10"/>
      <name val="Arial"/>
      <family val="2"/>
    </font>
    <font>
      <sz val="11"/>
      <color theme="0"/>
      <name val="Calibri"/>
      <family val="2"/>
      <scheme val="minor"/>
    </font>
    <font>
      <b/>
      <sz val="11"/>
      <color theme="1"/>
      <name val="Calibri"/>
      <family val="2"/>
      <scheme val="minor"/>
    </font>
    <font>
      <b/>
      <sz val="11"/>
      <color theme="3"/>
      <name val="Calibri"/>
      <family val="2"/>
      <scheme val="minor"/>
    </font>
    <font>
      <sz val="11"/>
      <color theme="3"/>
      <name val="Calibri"/>
      <family val="2"/>
      <scheme val="minor"/>
    </font>
    <font>
      <b/>
      <sz val="12"/>
      <color theme="3"/>
      <name val="Calibri"/>
      <family val="2"/>
      <scheme val="minor"/>
    </font>
    <font>
      <b/>
      <sz val="10"/>
      <color theme="3"/>
      <name val="Arial"/>
      <family val="2"/>
    </font>
    <font>
      <sz val="11"/>
      <color theme="1"/>
      <name val="Arial"/>
      <family val="2"/>
    </font>
    <font>
      <b/>
      <sz val="14"/>
      <color theme="1"/>
      <name val="Arial"/>
      <family val="2"/>
    </font>
    <font>
      <b/>
      <sz val="18"/>
      <color theme="1"/>
      <name val="Calibri"/>
      <family val="2"/>
      <scheme val="minor"/>
    </font>
    <font>
      <sz val="11"/>
      <color theme="0"/>
      <name val="Arial"/>
      <family val="2"/>
    </font>
    <font>
      <b/>
      <sz val="11"/>
      <color theme="1"/>
      <name val="Arial"/>
      <family val="2"/>
    </font>
    <font>
      <b/>
      <sz val="12"/>
      <color theme="1"/>
      <name val="Arial"/>
      <family val="2"/>
    </font>
    <font>
      <sz val="12"/>
      <color theme="1"/>
      <name val="Calibri"/>
      <family val="2"/>
      <scheme val="minor"/>
    </font>
    <font>
      <b/>
      <sz val="12"/>
      <color theme="1"/>
      <name val="Calibri"/>
      <family val="2"/>
      <scheme val="minor"/>
    </font>
    <font>
      <b/>
      <sz val="18"/>
      <color rgb="FF248E95"/>
      <name val="Arial"/>
      <family val="2"/>
    </font>
    <font>
      <b/>
      <sz val="16"/>
      <color theme="1"/>
      <name val="Calibri"/>
      <family val="2"/>
      <scheme val="minor"/>
    </font>
    <font>
      <sz val="8"/>
      <color indexed="8"/>
      <name val="Arial"/>
      <family val="2"/>
    </font>
    <font>
      <u/>
      <sz val="11"/>
      <color theme="10"/>
      <name val="Calibri"/>
      <family val="2"/>
      <scheme val="minor"/>
    </font>
    <font>
      <sz val="10"/>
      <color theme="0"/>
      <name val="Calibri"/>
      <family val="2"/>
    </font>
    <font>
      <b/>
      <sz val="11"/>
      <color theme="0"/>
      <name val="Arial"/>
      <family val="2"/>
    </font>
    <font>
      <b/>
      <sz val="10"/>
      <color theme="0"/>
      <name val="Arial"/>
      <family val="2"/>
    </font>
    <font>
      <b/>
      <sz val="14"/>
      <color theme="0"/>
      <name val="Calibri"/>
      <family val="2"/>
    </font>
    <font>
      <b/>
      <sz val="9"/>
      <color theme="0"/>
      <name val="Calibri"/>
      <family val="2"/>
    </font>
    <font>
      <sz val="9"/>
      <color theme="0"/>
      <name val="Calibri"/>
      <family val="2"/>
    </font>
    <font>
      <sz val="11"/>
      <color theme="0"/>
      <name val="Calibri"/>
      <family val="2"/>
    </font>
    <font>
      <b/>
      <sz val="10"/>
      <color theme="0"/>
      <name val="Calibri"/>
      <family val="2"/>
    </font>
    <font>
      <b/>
      <sz val="11"/>
      <color theme="0"/>
      <name val="Calibri"/>
      <family val="2"/>
    </font>
    <font>
      <b/>
      <sz val="16"/>
      <color theme="0"/>
      <name val="Calibri"/>
      <family val="2"/>
    </font>
    <font>
      <b/>
      <sz val="14"/>
      <color theme="0"/>
      <name val="Arial"/>
      <family val="2"/>
    </font>
    <font>
      <sz val="8"/>
      <color theme="0"/>
      <name val="Calibri"/>
      <family val="2"/>
    </font>
    <font>
      <sz val="9"/>
      <color theme="0"/>
      <name val="Arial"/>
      <family val="2"/>
    </font>
    <font>
      <sz val="14"/>
      <color theme="0"/>
      <name val="Calibri"/>
      <family val="2"/>
    </font>
    <font>
      <b/>
      <sz val="18"/>
      <color theme="0"/>
      <name val="Calibri"/>
      <family val="2"/>
    </font>
    <font>
      <b/>
      <sz val="12"/>
      <color theme="0"/>
      <name val="Calibri"/>
      <family val="2"/>
    </font>
    <font>
      <sz val="10"/>
      <color theme="0"/>
      <name val="Arial"/>
      <family val="2"/>
    </font>
    <font>
      <sz val="8"/>
      <color rgb="FF248E95"/>
      <name val="Arial"/>
      <family val="2"/>
    </font>
    <font>
      <sz val="11"/>
      <color rgb="FF248E95"/>
      <name val="Calibri"/>
      <family val="2"/>
      <scheme val="minor"/>
    </font>
    <font>
      <b/>
      <sz val="14"/>
      <color theme="1"/>
      <name val="Calibri"/>
      <family val="2"/>
      <scheme val="minor"/>
    </font>
    <font>
      <i/>
      <sz val="11"/>
      <color theme="1"/>
      <name val="Arial"/>
      <family val="2"/>
    </font>
  </fonts>
  <fills count="12">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0"/>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bgColor indexed="64"/>
      </patternFill>
    </fill>
  </fills>
  <borders count="119">
    <border>
      <left/>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ck">
        <color indexed="56"/>
      </left>
      <right style="hair">
        <color indexed="56"/>
      </right>
      <top/>
      <bottom style="hair">
        <color indexed="56"/>
      </bottom>
      <diagonal/>
    </border>
    <border>
      <left style="hair">
        <color indexed="56"/>
      </left>
      <right style="thick">
        <color indexed="56"/>
      </right>
      <top/>
      <bottom style="hair">
        <color indexed="56"/>
      </bottom>
      <diagonal/>
    </border>
    <border>
      <left style="thick">
        <color indexed="56"/>
      </left>
      <right style="hair">
        <color indexed="56"/>
      </right>
      <top style="thick">
        <color indexed="56"/>
      </top>
      <bottom style="hair">
        <color indexed="56"/>
      </bottom>
      <diagonal/>
    </border>
    <border>
      <left/>
      <right/>
      <top style="thick">
        <color indexed="20"/>
      </top>
      <bottom/>
      <diagonal/>
    </border>
    <border>
      <left/>
      <right style="thick">
        <color indexed="20"/>
      </right>
      <top style="thick">
        <color indexed="20"/>
      </top>
      <bottom/>
      <diagonal/>
    </border>
    <border>
      <left/>
      <right/>
      <top/>
      <bottom style="thick">
        <color indexed="20"/>
      </bottom>
      <diagonal/>
    </border>
    <border>
      <left/>
      <right style="thick">
        <color indexed="20"/>
      </right>
      <top/>
      <bottom style="thick">
        <color indexed="20"/>
      </bottom>
      <diagonal/>
    </border>
    <border>
      <left style="thick">
        <color indexed="20"/>
      </left>
      <right style="hair">
        <color indexed="20"/>
      </right>
      <top style="hair">
        <color indexed="20"/>
      </top>
      <bottom style="hair">
        <color indexed="20"/>
      </bottom>
      <diagonal/>
    </border>
    <border>
      <left style="hair">
        <color indexed="20"/>
      </left>
      <right style="thick">
        <color indexed="20"/>
      </right>
      <top style="hair">
        <color indexed="20"/>
      </top>
      <bottom style="hair">
        <color indexed="20"/>
      </bottom>
      <diagonal/>
    </border>
    <border>
      <left style="thick">
        <color indexed="20"/>
      </left>
      <right/>
      <top/>
      <bottom style="thick">
        <color indexed="20"/>
      </bottom>
      <diagonal/>
    </border>
    <border>
      <left/>
      <right/>
      <top style="thick">
        <color indexed="20"/>
      </top>
      <bottom style="thick">
        <color indexed="20"/>
      </bottom>
      <diagonal/>
    </border>
    <border>
      <left/>
      <right style="thick">
        <color indexed="20"/>
      </right>
      <top style="thick">
        <color indexed="20"/>
      </top>
      <bottom style="thick">
        <color indexed="20"/>
      </bottom>
      <diagonal/>
    </border>
    <border>
      <left style="hair">
        <color indexed="20"/>
      </left>
      <right style="hair">
        <color indexed="20"/>
      </right>
      <top/>
      <bottom style="hair">
        <color indexed="20"/>
      </bottom>
      <diagonal/>
    </border>
    <border>
      <left style="hair">
        <color indexed="20"/>
      </left>
      <right style="thick">
        <color indexed="20"/>
      </right>
      <top/>
      <bottom style="hair">
        <color indexed="20"/>
      </bottom>
      <diagonal/>
    </border>
    <border>
      <left style="hair">
        <color indexed="20"/>
      </left>
      <right style="thick">
        <color indexed="20"/>
      </right>
      <top style="thick">
        <color indexed="20"/>
      </top>
      <bottom style="thick">
        <color indexed="20"/>
      </bottom>
      <diagonal/>
    </border>
    <border>
      <left/>
      <right style="thick">
        <color indexed="20"/>
      </right>
      <top/>
      <bottom/>
      <diagonal/>
    </border>
    <border>
      <left style="thick">
        <color indexed="20"/>
      </left>
      <right style="hair">
        <color indexed="20"/>
      </right>
      <top style="hair">
        <color indexed="20"/>
      </top>
      <bottom style="thick">
        <color indexed="20"/>
      </bottom>
      <diagonal/>
    </border>
    <border>
      <left style="hair">
        <color indexed="20"/>
      </left>
      <right style="thick">
        <color indexed="20"/>
      </right>
      <top style="hair">
        <color indexed="20"/>
      </top>
      <bottom style="thick">
        <color indexed="20"/>
      </bottom>
      <diagonal/>
    </border>
    <border>
      <left style="thick">
        <color indexed="20"/>
      </left>
      <right style="hair">
        <color indexed="20"/>
      </right>
      <top style="thick">
        <color indexed="20"/>
      </top>
      <bottom style="hair">
        <color indexed="20"/>
      </bottom>
      <diagonal/>
    </border>
    <border>
      <left style="hair">
        <color indexed="20"/>
      </left>
      <right style="thick">
        <color indexed="20"/>
      </right>
      <top style="thick">
        <color indexed="20"/>
      </top>
      <bottom style="hair">
        <color indexed="20"/>
      </bottom>
      <diagonal/>
    </border>
    <border>
      <left/>
      <right style="hair">
        <color indexed="56"/>
      </right>
      <top/>
      <bottom style="hair">
        <color indexed="56"/>
      </bottom>
      <diagonal/>
    </border>
    <border>
      <left/>
      <right style="medium">
        <color indexed="64"/>
      </right>
      <top style="medium">
        <color indexed="64"/>
      </top>
      <bottom style="medium">
        <color indexed="64"/>
      </bottom>
      <diagonal/>
    </border>
    <border>
      <left style="hair">
        <color indexed="20"/>
      </left>
      <right style="hair">
        <color indexed="20"/>
      </right>
      <top style="thick">
        <color indexed="20"/>
      </top>
      <bottom style="thick">
        <color indexed="20"/>
      </bottom>
      <diagonal/>
    </border>
    <border>
      <left style="thick">
        <color indexed="20"/>
      </left>
      <right/>
      <top/>
      <bottom/>
      <diagonal/>
    </border>
    <border>
      <left style="thick">
        <color indexed="20"/>
      </left>
      <right/>
      <top style="thick">
        <color indexed="20"/>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hair">
        <color indexed="20"/>
      </left>
      <right/>
      <top style="thick">
        <color indexed="20"/>
      </top>
      <bottom style="thick">
        <color indexed="20"/>
      </bottom>
      <diagonal/>
    </border>
    <border>
      <left style="hair">
        <color indexed="20"/>
      </left>
      <right/>
      <top/>
      <bottom style="dotted">
        <color indexed="20"/>
      </bottom>
      <diagonal/>
    </border>
    <border>
      <left/>
      <right style="thick">
        <color indexed="20"/>
      </right>
      <top/>
      <bottom style="dotted">
        <color indexed="20"/>
      </bottom>
      <diagonal/>
    </border>
    <border>
      <left style="thick">
        <color indexed="20"/>
      </left>
      <right/>
      <top/>
      <bottom style="hair">
        <color indexed="20"/>
      </bottom>
      <diagonal/>
    </border>
    <border>
      <left/>
      <right/>
      <top/>
      <bottom style="hair">
        <color indexed="20"/>
      </bottom>
      <diagonal/>
    </border>
    <border>
      <left/>
      <right style="thick">
        <color indexed="20"/>
      </right>
      <top/>
      <bottom style="hair">
        <color indexed="20"/>
      </bottom>
      <diagonal/>
    </border>
    <border>
      <left style="hair">
        <color indexed="20"/>
      </left>
      <right/>
      <top style="dotted">
        <color indexed="20"/>
      </top>
      <bottom style="dotted">
        <color indexed="20"/>
      </bottom>
      <diagonal/>
    </border>
    <border>
      <left/>
      <right style="thick">
        <color indexed="20"/>
      </right>
      <top style="dotted">
        <color indexed="20"/>
      </top>
      <bottom style="dotted">
        <color indexed="20"/>
      </bottom>
      <diagonal/>
    </border>
    <border>
      <left style="hair">
        <color indexed="20"/>
      </left>
      <right/>
      <top style="hair">
        <color indexed="20"/>
      </top>
      <bottom style="hair">
        <color indexed="20"/>
      </bottom>
      <diagonal/>
    </border>
    <border>
      <left/>
      <right style="thick">
        <color indexed="20"/>
      </right>
      <top style="hair">
        <color indexed="20"/>
      </top>
      <bottom style="hair">
        <color indexed="20"/>
      </bottom>
      <diagonal/>
    </border>
    <border>
      <left style="hair">
        <color indexed="20"/>
      </left>
      <right/>
      <top style="hair">
        <color indexed="20"/>
      </top>
      <bottom style="thick">
        <color indexed="20"/>
      </bottom>
      <diagonal/>
    </border>
    <border>
      <left/>
      <right style="thick">
        <color indexed="20"/>
      </right>
      <top style="hair">
        <color indexed="20"/>
      </top>
      <bottom style="thick">
        <color indexed="20"/>
      </bottom>
      <diagonal/>
    </border>
    <border>
      <left style="hair">
        <color indexed="20"/>
      </left>
      <right/>
      <top style="dotted">
        <color indexed="20"/>
      </top>
      <bottom style="thick">
        <color indexed="20"/>
      </bottom>
      <diagonal/>
    </border>
    <border>
      <left/>
      <right style="thick">
        <color indexed="20"/>
      </right>
      <top style="dotted">
        <color indexed="20"/>
      </top>
      <bottom style="thick">
        <color indexed="20"/>
      </bottom>
      <diagonal/>
    </border>
    <border>
      <left style="hair">
        <color indexed="20"/>
      </left>
      <right/>
      <top style="thick">
        <color indexed="2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thin">
        <color indexed="64"/>
      </top>
      <bottom/>
      <diagonal/>
    </border>
    <border>
      <left/>
      <right/>
      <top style="thick">
        <color theme="3"/>
      </top>
      <bottom/>
      <diagonal/>
    </border>
    <border>
      <left/>
      <right/>
      <top/>
      <bottom style="thick">
        <color theme="3"/>
      </bottom>
      <diagonal/>
    </border>
    <border>
      <left/>
      <right style="thick">
        <color theme="3"/>
      </right>
      <top/>
      <bottom style="thick">
        <color theme="3"/>
      </bottom>
      <diagonal/>
    </border>
    <border>
      <left style="thick">
        <color theme="3"/>
      </left>
      <right/>
      <top style="thick">
        <color theme="3"/>
      </top>
      <bottom/>
      <diagonal/>
    </border>
    <border>
      <left style="thick">
        <color theme="3"/>
      </left>
      <right/>
      <top/>
      <bottom/>
      <diagonal/>
    </border>
    <border>
      <left style="thick">
        <color theme="3"/>
      </left>
      <right/>
      <top/>
      <bottom style="thick">
        <color theme="3"/>
      </bottom>
      <diagonal/>
    </border>
    <border>
      <left/>
      <right/>
      <top style="thick">
        <color theme="3"/>
      </top>
      <bottom style="medium">
        <color indexed="64"/>
      </bottom>
      <diagonal/>
    </border>
    <border>
      <left/>
      <right style="thick">
        <color theme="3"/>
      </right>
      <top style="thick">
        <color theme="3"/>
      </top>
      <bottom style="medium">
        <color indexed="64"/>
      </bottom>
      <diagonal/>
    </border>
    <border>
      <left style="medium">
        <color indexed="64"/>
      </left>
      <right/>
      <top style="medium">
        <color indexed="64"/>
      </top>
      <bottom style="hair">
        <color theme="3"/>
      </bottom>
      <diagonal/>
    </border>
    <border>
      <left style="medium">
        <color indexed="64"/>
      </left>
      <right/>
      <top style="hair">
        <color theme="3"/>
      </top>
      <bottom style="hair">
        <color theme="3"/>
      </bottom>
      <diagonal/>
    </border>
    <border>
      <left style="medium">
        <color indexed="64"/>
      </left>
      <right/>
      <top style="hair">
        <color theme="3"/>
      </top>
      <bottom style="medium">
        <color indexed="64"/>
      </bottom>
      <diagonal/>
    </border>
    <border>
      <left/>
      <right/>
      <top/>
      <bottom style="hair">
        <color theme="0" tint="-0.24994659260841701"/>
      </bottom>
      <diagonal/>
    </border>
    <border>
      <left style="thin">
        <color indexed="64"/>
      </left>
      <right style="thin">
        <color indexed="64"/>
      </right>
      <top style="hair">
        <color theme="0" tint="-0.24994659260841701"/>
      </top>
      <bottom style="hair">
        <color theme="0" tint="-0.24994659260841701"/>
      </bottom>
      <diagonal/>
    </border>
    <border>
      <left style="thin">
        <color indexed="64"/>
      </left>
      <right style="thin">
        <color indexed="64"/>
      </right>
      <top style="hair">
        <color theme="0" tint="-0.24994659260841701"/>
      </top>
      <bottom style="medium">
        <color indexed="64"/>
      </bottom>
      <diagonal/>
    </border>
    <border>
      <left style="thin">
        <color indexed="64"/>
      </left>
      <right style="medium">
        <color indexed="64"/>
      </right>
      <top style="hair">
        <color theme="0" tint="-0.24994659260841701"/>
      </top>
      <bottom style="hair">
        <color theme="0" tint="-0.24994659260841701"/>
      </bottom>
      <diagonal/>
    </border>
    <border>
      <left style="thin">
        <color indexed="64"/>
      </left>
      <right style="medium">
        <color indexed="64"/>
      </right>
      <top style="hair">
        <color theme="0" tint="-0.24994659260841701"/>
      </top>
      <bottom style="medium">
        <color indexed="64"/>
      </bottom>
      <diagonal/>
    </border>
    <border>
      <left style="thin">
        <color indexed="64"/>
      </left>
      <right style="thin">
        <color indexed="64"/>
      </right>
      <top/>
      <bottom style="hair">
        <color theme="0" tint="-0.24994659260841701"/>
      </bottom>
      <diagonal/>
    </border>
    <border>
      <left style="thin">
        <color indexed="64"/>
      </left>
      <right style="medium">
        <color indexed="64"/>
      </right>
      <top/>
      <bottom style="hair">
        <color theme="0" tint="-0.24994659260841701"/>
      </bottom>
      <diagonal/>
    </border>
    <border>
      <left style="thin">
        <color indexed="64"/>
      </left>
      <right style="thin">
        <color indexed="64"/>
      </right>
      <top style="medium">
        <color indexed="64"/>
      </top>
      <bottom style="hair">
        <color theme="0" tint="-0.24994659260841701"/>
      </bottom>
      <diagonal/>
    </border>
    <border>
      <left style="thin">
        <color indexed="64"/>
      </left>
      <right style="thin">
        <color indexed="64"/>
      </right>
      <top style="hair">
        <color theme="0" tint="-0.24994659260841701"/>
      </top>
      <bottom style="thin">
        <color indexed="64"/>
      </bottom>
      <diagonal/>
    </border>
    <border>
      <left style="thick">
        <color theme="3"/>
      </left>
      <right/>
      <top style="hair">
        <color theme="0" tint="-0.24994659260841701"/>
      </top>
      <bottom style="thick">
        <color theme="3"/>
      </bottom>
      <diagonal/>
    </border>
    <border>
      <left/>
      <right style="thick">
        <color theme="3"/>
      </right>
      <top style="hair">
        <color theme="0" tint="-0.24994659260841701"/>
      </top>
      <bottom style="thick">
        <color theme="3"/>
      </bottom>
      <diagonal/>
    </border>
    <border>
      <left/>
      <right style="thin">
        <color indexed="64"/>
      </right>
      <top/>
      <bottom style="hair">
        <color theme="0" tint="-0.24994659260841701"/>
      </bottom>
      <diagonal/>
    </border>
    <border>
      <left/>
      <right style="thin">
        <color indexed="64"/>
      </right>
      <top style="hair">
        <color theme="0" tint="-0.24994659260841701"/>
      </top>
      <bottom style="hair">
        <color theme="0" tint="-0.24994659260841701"/>
      </bottom>
      <diagonal/>
    </border>
    <border>
      <left/>
      <right style="thin">
        <color indexed="64"/>
      </right>
      <top style="hair">
        <color theme="0" tint="-0.24994659260841701"/>
      </top>
      <bottom style="medium">
        <color indexed="64"/>
      </bottom>
      <diagonal/>
    </border>
    <border>
      <left style="medium">
        <color indexed="64"/>
      </left>
      <right/>
      <top style="hair">
        <color theme="0" tint="-0.24994659260841701"/>
      </top>
      <bottom style="hair">
        <color theme="0" tint="-0.24994659260841701"/>
      </bottom>
      <diagonal/>
    </border>
    <border>
      <left style="medium">
        <color indexed="64"/>
      </left>
      <right/>
      <top style="hair">
        <color theme="0" tint="-0.24994659260841701"/>
      </top>
      <bottom style="medium">
        <color indexed="64"/>
      </bottom>
      <diagonal/>
    </border>
    <border>
      <left style="thin">
        <color indexed="64"/>
      </left>
      <right style="medium">
        <color indexed="64"/>
      </right>
      <top style="hair">
        <color theme="3"/>
      </top>
      <bottom style="hair">
        <color theme="3"/>
      </bottom>
      <diagonal/>
    </border>
    <border>
      <left style="thin">
        <color indexed="64"/>
      </left>
      <right style="medium">
        <color indexed="64"/>
      </right>
      <top style="hair">
        <color theme="3"/>
      </top>
      <bottom style="medium">
        <color indexed="64"/>
      </bottom>
      <diagonal/>
    </border>
    <border>
      <left/>
      <right/>
      <top style="thin">
        <color indexed="64"/>
      </top>
      <bottom/>
      <diagonal/>
    </border>
  </borders>
  <cellStyleXfs count="6">
    <xf numFmtId="0" fontId="0" fillId="0" borderId="0"/>
    <xf numFmtId="164"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47" fillId="0" borderId="0" applyNumberFormat="0" applyFill="0" applyBorder="0" applyAlignment="0" applyProtection="0"/>
    <xf numFmtId="196" fontId="7" fillId="0" borderId="0" applyFont="0" applyFill="0" applyBorder="0" applyAlignment="0" applyProtection="0"/>
  </cellStyleXfs>
  <cellXfs count="513">
    <xf numFmtId="0" fontId="0" fillId="0" borderId="0" xfId="0"/>
    <xf numFmtId="0" fontId="10" fillId="0" borderId="0" xfId="0" applyFont="1" applyProtection="1"/>
    <xf numFmtId="170" fontId="10" fillId="0" borderId="0" xfId="0" applyNumberFormat="1" applyFont="1" applyBorder="1" applyAlignment="1" applyProtection="1">
      <alignment horizontal="center" vertical="center"/>
    </xf>
    <xf numFmtId="0" fontId="10" fillId="2" borderId="0" xfId="0" applyFont="1" applyFill="1" applyProtection="1"/>
    <xf numFmtId="0" fontId="10" fillId="0" borderId="0" xfId="0" applyFont="1" applyBorder="1" applyProtection="1"/>
    <xf numFmtId="0" fontId="11" fillId="0" borderId="37" xfId="0" applyFont="1" applyBorder="1" applyAlignment="1" applyProtection="1">
      <alignment horizontal="left" vertical="center" wrapText="1"/>
    </xf>
    <xf numFmtId="168" fontId="10" fillId="2" borderId="38" xfId="0" applyNumberFormat="1" applyFont="1" applyFill="1" applyBorder="1" applyAlignment="1" applyProtection="1">
      <alignment horizontal="center" vertical="center"/>
    </xf>
    <xf numFmtId="0" fontId="11" fillId="2" borderId="39" xfId="0" applyFont="1" applyFill="1" applyBorder="1" applyAlignment="1" applyProtection="1">
      <alignment horizontal="left" vertical="center" wrapText="1"/>
    </xf>
    <xf numFmtId="0" fontId="10" fillId="3" borderId="0" xfId="0" applyFont="1" applyFill="1" applyBorder="1" applyProtection="1"/>
    <xf numFmtId="0" fontId="10" fillId="3" borderId="40" xfId="0" applyFont="1" applyFill="1" applyBorder="1" applyProtection="1"/>
    <xf numFmtId="0" fontId="10" fillId="3" borderId="41" xfId="0" applyFont="1" applyFill="1" applyBorder="1" applyProtection="1"/>
    <xf numFmtId="0" fontId="10" fillId="3" borderId="42" xfId="0" applyFont="1" applyFill="1" applyBorder="1" applyProtection="1"/>
    <xf numFmtId="0" fontId="10" fillId="3" borderId="43" xfId="0" applyFont="1" applyFill="1" applyBorder="1" applyProtection="1"/>
    <xf numFmtId="0" fontId="13" fillId="0" borderId="0" xfId="0" applyFont="1" applyAlignment="1" applyProtection="1">
      <alignment vertical="center"/>
    </xf>
    <xf numFmtId="0" fontId="14" fillId="3" borderId="44" xfId="0" applyFont="1" applyFill="1" applyBorder="1" applyAlignment="1" applyProtection="1">
      <alignment horizontal="center" vertical="center"/>
    </xf>
    <xf numFmtId="170" fontId="14" fillId="3" borderId="45" xfId="0" applyNumberFormat="1" applyFont="1" applyFill="1" applyBorder="1" applyAlignment="1" applyProtection="1">
      <alignment horizontal="center" vertical="center"/>
    </xf>
    <xf numFmtId="0" fontId="16" fillId="0" borderId="0" xfId="0" applyFont="1" applyBorder="1" applyAlignment="1" applyProtection="1">
      <alignment horizontal="center"/>
    </xf>
    <xf numFmtId="180" fontId="17" fillId="0" borderId="46" xfId="0" applyNumberFormat="1" applyFont="1" applyBorder="1" applyAlignment="1" applyProtection="1">
      <alignment horizontal="center" vertical="center"/>
    </xf>
    <xf numFmtId="0" fontId="0" fillId="0" borderId="42" xfId="0" applyBorder="1" applyAlignment="1" applyProtection="1"/>
    <xf numFmtId="0" fontId="0" fillId="0" borderId="43" xfId="0" applyBorder="1" applyAlignment="1" applyProtection="1"/>
    <xf numFmtId="0" fontId="18" fillId="4" borderId="47" xfId="0" applyFont="1" applyFill="1" applyBorder="1" applyAlignment="1" applyProtection="1"/>
    <xf numFmtId="0" fontId="18" fillId="4" borderId="48" xfId="0" applyFont="1" applyFill="1" applyBorder="1" applyAlignment="1" applyProtection="1"/>
    <xf numFmtId="0" fontId="18" fillId="4" borderId="51" xfId="0" applyFont="1" applyFill="1" applyBorder="1" applyAlignment="1" applyProtection="1">
      <alignment horizontal="center" vertical="center" wrapText="1"/>
    </xf>
    <xf numFmtId="182" fontId="17" fillId="0" borderId="51" xfId="0" applyNumberFormat="1" applyFont="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0" fontId="0" fillId="0" borderId="0" xfId="0" applyAlignment="1" applyProtection="1"/>
    <xf numFmtId="0" fontId="0" fillId="0" borderId="52" xfId="0" applyBorder="1" applyAlignment="1" applyProtection="1"/>
    <xf numFmtId="0" fontId="11" fillId="0" borderId="53" xfId="0" applyFont="1" applyBorder="1" applyAlignment="1" applyProtection="1">
      <alignment horizontal="left" vertical="center" wrapText="1"/>
    </xf>
    <xf numFmtId="170" fontId="11" fillId="2" borderId="54" xfId="0" applyNumberFormat="1" applyFont="1" applyFill="1" applyBorder="1" applyAlignment="1" applyProtection="1">
      <alignment horizontal="center" vertical="center"/>
    </xf>
    <xf numFmtId="173" fontId="14" fillId="3" borderId="55" xfId="0" applyNumberFormat="1" applyFont="1" applyFill="1" applyBorder="1" applyAlignment="1" applyProtection="1">
      <alignment horizontal="center" vertical="center"/>
    </xf>
    <xf numFmtId="173" fontId="14" fillId="3" borderId="56" xfId="0" applyNumberFormat="1" applyFont="1" applyFill="1" applyBorder="1" applyAlignment="1" applyProtection="1">
      <alignment horizontal="center" vertical="center"/>
    </xf>
    <xf numFmtId="173" fontId="14" fillId="3" borderId="44" xfId="0" applyNumberFormat="1" applyFont="1" applyFill="1" applyBorder="1" applyAlignment="1" applyProtection="1">
      <alignment horizontal="center" vertical="center"/>
    </xf>
    <xf numFmtId="173" fontId="14" fillId="3" borderId="45" xfId="0" applyNumberFormat="1" applyFont="1" applyFill="1" applyBorder="1" applyAlignment="1" applyProtection="1">
      <alignment horizontal="center" vertical="center"/>
    </xf>
    <xf numFmtId="0" fontId="19" fillId="3" borderId="44" xfId="0" applyFont="1" applyFill="1" applyBorder="1" applyAlignment="1" applyProtection="1">
      <alignment horizontal="left" vertical="center" wrapText="1"/>
    </xf>
    <xf numFmtId="170" fontId="19" fillId="3" borderId="45" xfId="0" applyNumberFormat="1" applyFont="1" applyFill="1" applyBorder="1" applyAlignment="1" applyProtection="1">
      <alignment horizontal="center" vertical="center"/>
    </xf>
    <xf numFmtId="0" fontId="19" fillId="3" borderId="53" xfId="0" applyFont="1" applyFill="1" applyBorder="1" applyAlignment="1" applyProtection="1">
      <alignment horizontal="left" vertical="center" wrapText="1"/>
    </xf>
    <xf numFmtId="170" fontId="19" fillId="3" borderId="54" xfId="0" applyNumberFormat="1" applyFont="1" applyFill="1" applyBorder="1" applyAlignment="1" applyProtection="1">
      <alignment horizontal="center" vertical="center"/>
    </xf>
    <xf numFmtId="0" fontId="10" fillId="0" borderId="0" xfId="0" applyFont="1" applyAlignment="1" applyProtection="1">
      <alignment vertical="center"/>
    </xf>
    <xf numFmtId="0" fontId="22" fillId="0" borderId="0" xfId="0" applyFont="1" applyFill="1" applyBorder="1" applyAlignment="1" applyProtection="1">
      <alignment vertical="center" wrapText="1"/>
    </xf>
    <xf numFmtId="172" fontId="23" fillId="0" borderId="0" xfId="0" applyNumberFormat="1" applyFont="1" applyFill="1" applyBorder="1" applyAlignment="1" applyProtection="1"/>
    <xf numFmtId="172" fontId="10" fillId="0" borderId="0" xfId="0" applyNumberFormat="1" applyFont="1" applyBorder="1" applyProtection="1"/>
    <xf numFmtId="0" fontId="10" fillId="0" borderId="0" xfId="0" applyFont="1" applyAlignment="1" applyProtection="1"/>
    <xf numFmtId="0" fontId="18" fillId="0" borderId="0" xfId="0" applyFont="1" applyProtection="1"/>
    <xf numFmtId="0" fontId="6" fillId="0" borderId="0" xfId="0" applyFont="1" applyProtection="1"/>
    <xf numFmtId="0" fontId="17" fillId="0" borderId="0" xfId="0" applyFont="1" applyProtection="1"/>
    <xf numFmtId="0" fontId="10" fillId="0" borderId="0" xfId="0" applyFont="1" applyBorder="1" applyAlignment="1" applyProtection="1"/>
    <xf numFmtId="0" fontId="11" fillId="0" borderId="57" xfId="0" applyFont="1" applyBorder="1" applyAlignment="1" applyProtection="1">
      <alignment horizontal="left" vertical="center" wrapText="1"/>
    </xf>
    <xf numFmtId="0" fontId="10" fillId="0" borderId="0" xfId="0" applyFont="1" applyFill="1" applyBorder="1" applyProtection="1"/>
    <xf numFmtId="0" fontId="33" fillId="0" borderId="90" xfId="0" applyFont="1" applyBorder="1" applyAlignment="1" applyProtection="1"/>
    <xf numFmtId="0" fontId="33" fillId="0" borderId="91" xfId="0" applyFont="1" applyBorder="1" applyAlignment="1" applyProtection="1"/>
    <xf numFmtId="0" fontId="3" fillId="0" borderId="0" xfId="0" applyFont="1" applyProtection="1"/>
    <xf numFmtId="0" fontId="5" fillId="0" borderId="0" xfId="0" applyFont="1" applyProtection="1"/>
    <xf numFmtId="0" fontId="3" fillId="0" borderId="0" xfId="0" applyFont="1" applyAlignment="1" applyProtection="1">
      <alignment horizontal="right" vertical="center"/>
    </xf>
    <xf numFmtId="0" fontId="35" fillId="0" borderId="92" xfId="0" applyFont="1" applyBorder="1" applyAlignment="1" applyProtection="1">
      <alignment horizontal="left" vertical="center" wrapText="1"/>
    </xf>
    <xf numFmtId="0" fontId="0" fillId="0" borderId="0" xfId="0" applyAlignment="1"/>
    <xf numFmtId="0" fontId="31" fillId="0" borderId="32" xfId="0" applyFont="1" applyBorder="1" applyAlignment="1" applyProtection="1">
      <alignment horizontal="center" vertical="center" wrapText="1"/>
    </xf>
    <xf numFmtId="0" fontId="31" fillId="6" borderId="32" xfId="0" applyFont="1" applyFill="1" applyBorder="1" applyAlignment="1" applyProtection="1">
      <alignment horizontal="center" vertical="center" wrapText="1"/>
    </xf>
    <xf numFmtId="0" fontId="33" fillId="0" borderId="95" xfId="0" applyFont="1" applyBorder="1" applyAlignment="1" applyProtection="1">
      <alignment horizontal="center"/>
    </xf>
    <xf numFmtId="0" fontId="0" fillId="7" borderId="0" xfId="0" applyFill="1" applyBorder="1" applyAlignment="1" applyProtection="1">
      <alignment horizontal="center" vertical="center" wrapText="1"/>
    </xf>
    <xf numFmtId="0" fontId="18" fillId="7" borderId="0" xfId="0" applyFont="1" applyFill="1" applyBorder="1" applyAlignment="1" applyProtection="1"/>
    <xf numFmtId="167" fontId="17" fillId="7" borderId="0" xfId="0" applyNumberFormat="1" applyFont="1" applyFill="1" applyBorder="1" applyAlignment="1" applyProtection="1">
      <alignment horizontal="center" vertical="center"/>
    </xf>
    <xf numFmtId="0" fontId="0" fillId="7" borderId="0" xfId="0" applyFill="1" applyBorder="1" applyAlignment="1" applyProtection="1"/>
    <xf numFmtId="0" fontId="10" fillId="0" borderId="0" xfId="0" applyFont="1" applyAlignment="1" applyProtection="1">
      <alignment horizontal="left"/>
    </xf>
    <xf numFmtId="0" fontId="16" fillId="0" borderId="0" xfId="0" applyFont="1" applyBorder="1" applyAlignment="1" applyProtection="1">
      <alignment horizontal="left"/>
    </xf>
    <xf numFmtId="0" fontId="37" fillId="0" borderId="0" xfId="0" applyFont="1" applyBorder="1" applyAlignment="1" applyProtection="1">
      <alignment horizontal="left" vertical="top"/>
    </xf>
    <xf numFmtId="0" fontId="36" fillId="8" borderId="97" xfId="0" applyFont="1" applyFill="1" applyBorder="1" applyAlignment="1" applyProtection="1">
      <alignment horizontal="left" vertical="center" wrapText="1"/>
    </xf>
    <xf numFmtId="0" fontId="15" fillId="0" borderId="0" xfId="0" applyFont="1" applyBorder="1" applyAlignment="1" applyProtection="1">
      <alignment horizontal="left" vertical="center"/>
    </xf>
    <xf numFmtId="49" fontId="17" fillId="7" borderId="0" xfId="0" applyNumberFormat="1" applyFont="1" applyFill="1" applyBorder="1" applyAlignment="1" applyProtection="1">
      <alignment horizontal="left" vertical="center"/>
    </xf>
    <xf numFmtId="0" fontId="0" fillId="7" borderId="0" xfId="0" applyFill="1" applyBorder="1" applyAlignment="1" applyProtection="1">
      <alignment horizontal="left" vertical="center" wrapText="1"/>
    </xf>
    <xf numFmtId="0" fontId="13" fillId="0" borderId="0" xfId="0" applyFont="1" applyAlignment="1" applyProtection="1">
      <alignment horizontal="left" vertical="center"/>
    </xf>
    <xf numFmtId="0" fontId="18" fillId="4" borderId="59" xfId="0" applyFont="1" applyFill="1" applyBorder="1" applyAlignment="1" applyProtection="1">
      <alignment horizontal="left" vertical="center" wrapText="1"/>
    </xf>
    <xf numFmtId="182" fontId="17" fillId="0" borderId="59" xfId="0" applyNumberFormat="1" applyFont="1" applyBorder="1" applyAlignment="1" applyProtection="1">
      <alignment horizontal="left" vertical="center"/>
    </xf>
    <xf numFmtId="0" fontId="10" fillId="3" borderId="60" xfId="0" applyFont="1" applyFill="1" applyBorder="1" applyAlignment="1" applyProtection="1">
      <alignment horizontal="left" vertical="center" wrapText="1"/>
    </xf>
    <xf numFmtId="0" fontId="10" fillId="3" borderId="46" xfId="0" applyFont="1" applyFill="1" applyBorder="1" applyAlignment="1" applyProtection="1">
      <alignment horizontal="left"/>
    </xf>
    <xf numFmtId="0" fontId="10" fillId="3" borderId="61" xfId="0" applyFont="1" applyFill="1" applyBorder="1" applyAlignment="1" applyProtection="1">
      <alignment horizontal="left"/>
    </xf>
    <xf numFmtId="0" fontId="4" fillId="8" borderId="33" xfId="0" applyFont="1" applyFill="1" applyBorder="1" applyAlignment="1" applyProtection="1">
      <alignment horizontal="left" vertical="center" wrapText="1"/>
    </xf>
    <xf numFmtId="0" fontId="10" fillId="6" borderId="18" xfId="0" applyFont="1" applyFill="1" applyBorder="1" applyAlignment="1" applyProtection="1">
      <alignment horizontal="center" vertical="center"/>
    </xf>
    <xf numFmtId="0" fontId="10" fillId="8" borderId="36" xfId="0" applyFont="1" applyFill="1" applyBorder="1" applyAlignment="1" applyProtection="1">
      <alignment horizontal="center" vertical="center"/>
    </xf>
    <xf numFmtId="0" fontId="10" fillId="6" borderId="36" xfId="0" applyFont="1" applyFill="1" applyBorder="1" applyAlignment="1" applyProtection="1">
      <alignment horizontal="center" vertical="center"/>
    </xf>
    <xf numFmtId="170" fontId="3" fillId="8" borderId="63" xfId="0" applyNumberFormat="1" applyFont="1" applyFill="1" applyBorder="1" applyAlignment="1" applyProtection="1">
      <alignment horizontal="center" vertical="center"/>
    </xf>
    <xf numFmtId="0" fontId="36" fillId="0" borderId="63" xfId="0" applyFont="1" applyFill="1" applyBorder="1" applyAlignment="1" applyProtection="1">
      <alignment horizontal="center" vertical="center" wrapText="1"/>
    </xf>
    <xf numFmtId="0" fontId="38" fillId="7" borderId="20" xfId="0" applyFont="1" applyFill="1" applyBorder="1" applyAlignment="1" applyProtection="1">
      <alignment horizontal="center" vertical="center"/>
    </xf>
    <xf numFmtId="187" fontId="39" fillId="0" borderId="100" xfId="0" applyNumberFormat="1" applyFont="1" applyFill="1" applyBorder="1" applyAlignment="1" applyProtection="1">
      <alignment horizontal="left"/>
    </xf>
    <xf numFmtId="0" fontId="10" fillId="0" borderId="0" xfId="0" applyFont="1" applyFill="1" applyBorder="1" applyAlignment="1" applyProtection="1"/>
    <xf numFmtId="0" fontId="10" fillId="0" borderId="16" xfId="0" applyFont="1" applyFill="1" applyBorder="1" applyAlignment="1" applyProtection="1"/>
    <xf numFmtId="170" fontId="3" fillId="8" borderId="35" xfId="0" applyNumberFormat="1" applyFont="1" applyFill="1" applyBorder="1" applyAlignment="1" applyProtection="1">
      <alignment horizontal="center" vertical="center"/>
    </xf>
    <xf numFmtId="0" fontId="10" fillId="0" borderId="16" xfId="0" applyFont="1" applyBorder="1" applyProtection="1"/>
    <xf numFmtId="0" fontId="10" fillId="0" borderId="0" xfId="0" applyFont="1" applyFill="1" applyAlignment="1" applyProtection="1"/>
    <xf numFmtId="186" fontId="10"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vertical="center"/>
    </xf>
    <xf numFmtId="172" fontId="10" fillId="0" borderId="0" xfId="0" applyNumberFormat="1" applyFont="1" applyBorder="1" applyAlignment="1" applyProtection="1"/>
    <xf numFmtId="173" fontId="21" fillId="0" borderId="101" xfId="0" applyNumberFormat="1" applyFont="1" applyFill="1" applyBorder="1" applyAlignment="1" applyProtection="1">
      <alignment horizontal="center"/>
    </xf>
    <xf numFmtId="173" fontId="21" fillId="0" borderId="102" xfId="0" applyNumberFormat="1" applyFont="1" applyFill="1" applyBorder="1" applyAlignment="1" applyProtection="1">
      <alignment horizontal="center"/>
    </xf>
    <xf numFmtId="173" fontId="21" fillId="0" borderId="103" xfId="0" applyNumberFormat="1" applyFont="1" applyFill="1" applyBorder="1" applyAlignment="1" applyProtection="1">
      <alignment horizontal="center"/>
    </xf>
    <xf numFmtId="173" fontId="21" fillId="0" borderId="104" xfId="0" applyNumberFormat="1" applyFont="1" applyFill="1" applyBorder="1" applyAlignment="1" applyProtection="1">
      <alignment horizontal="center"/>
    </xf>
    <xf numFmtId="187" fontId="10" fillId="0" borderId="100" xfId="0" applyNumberFormat="1" applyFont="1" applyFill="1" applyBorder="1" applyAlignment="1" applyProtection="1">
      <alignment horizontal="right"/>
    </xf>
    <xf numFmtId="173" fontId="3" fillId="0" borderId="23" xfId="0" applyNumberFormat="1" applyFont="1" applyFill="1" applyBorder="1" applyAlignment="1" applyProtection="1">
      <alignment horizontal="left"/>
    </xf>
    <xf numFmtId="173" fontId="3" fillId="0" borderId="66" xfId="0" applyNumberFormat="1" applyFont="1" applyFill="1" applyBorder="1" applyAlignment="1" applyProtection="1">
      <alignment horizontal="left"/>
    </xf>
    <xf numFmtId="173" fontId="3" fillId="0" borderId="7" xfId="0" applyNumberFormat="1" applyFont="1" applyFill="1" applyBorder="1" applyAlignment="1" applyProtection="1">
      <alignment horizontal="left"/>
    </xf>
    <xf numFmtId="174" fontId="40" fillId="6" borderId="5" xfId="0" applyNumberFormat="1" applyFont="1" applyFill="1" applyBorder="1" applyAlignment="1" applyProtection="1">
      <alignment horizontal="center" vertical="center"/>
    </xf>
    <xf numFmtId="0" fontId="40" fillId="6" borderId="5" xfId="0" applyFont="1" applyFill="1" applyBorder="1" applyAlignment="1" applyProtection="1">
      <alignment horizontal="left" vertical="center" wrapText="1"/>
    </xf>
    <xf numFmtId="49" fontId="3" fillId="9" borderId="98" xfId="0" applyNumberFormat="1" applyFont="1" applyFill="1" applyBorder="1" applyAlignment="1" applyProtection="1">
      <alignment horizontal="left" vertical="center"/>
      <protection locked="0"/>
    </xf>
    <xf numFmtId="49" fontId="3" fillId="9" borderId="99" xfId="0" applyNumberFormat="1" applyFont="1" applyFill="1" applyBorder="1" applyAlignment="1" applyProtection="1">
      <alignment horizontal="left" vertical="center"/>
      <protection locked="0"/>
    </xf>
    <xf numFmtId="0" fontId="40" fillId="8" borderId="32" xfId="0" applyFont="1" applyFill="1" applyBorder="1" applyAlignment="1" applyProtection="1">
      <alignment horizontal="left" vertical="center" wrapText="1"/>
    </xf>
    <xf numFmtId="0" fontId="41" fillId="8" borderId="107" xfId="0" applyFont="1" applyFill="1" applyBorder="1" applyAlignment="1" applyProtection="1">
      <alignment horizontal="center" vertical="top" wrapText="1"/>
    </xf>
    <xf numFmtId="0" fontId="41" fillId="8" borderId="21" xfId="0" applyFont="1" applyFill="1" applyBorder="1" applyAlignment="1" applyProtection="1">
      <alignment horizontal="center" vertical="top" wrapText="1"/>
    </xf>
    <xf numFmtId="0" fontId="41" fillId="8" borderId="13" xfId="0" applyFont="1" applyFill="1" applyBorder="1" applyAlignment="1" applyProtection="1">
      <alignment horizontal="center" vertical="top" wrapText="1"/>
    </xf>
    <xf numFmtId="0" fontId="41" fillId="8" borderId="15" xfId="0" applyFont="1" applyFill="1" applyBorder="1" applyAlignment="1" applyProtection="1">
      <alignment horizontal="center" vertical="top" wrapText="1"/>
    </xf>
    <xf numFmtId="10" fontId="10" fillId="0" borderId="111" xfId="2" applyNumberFormat="1" applyFont="1" applyFill="1" applyBorder="1" applyAlignment="1" applyProtection="1">
      <alignment horizontal="left"/>
    </xf>
    <xf numFmtId="10" fontId="10" fillId="0" borderId="112" xfId="2" applyNumberFormat="1" applyFont="1" applyFill="1" applyBorder="1" applyAlignment="1" applyProtection="1">
      <alignment horizontal="left"/>
    </xf>
    <xf numFmtId="10" fontId="10" fillId="0" borderId="113" xfId="2" applyNumberFormat="1" applyFont="1" applyFill="1" applyBorder="1" applyAlignment="1" applyProtection="1">
      <alignment horizontal="left"/>
    </xf>
    <xf numFmtId="187" fontId="10" fillId="0" borderId="29" xfId="0" applyNumberFormat="1" applyFont="1" applyFill="1" applyBorder="1" applyAlignment="1" applyProtection="1">
      <alignment horizontal="right"/>
    </xf>
    <xf numFmtId="0" fontId="41" fillId="8" borderId="68" xfId="0" applyFont="1" applyFill="1" applyBorder="1" applyAlignment="1" applyProtection="1">
      <alignment horizontal="center" vertical="top" wrapText="1"/>
    </xf>
    <xf numFmtId="1" fontId="10" fillId="0" borderId="100" xfId="0" applyNumberFormat="1" applyFont="1" applyFill="1" applyBorder="1" applyAlignment="1" applyProtection="1">
      <alignment horizontal="left"/>
    </xf>
    <xf numFmtId="1" fontId="10" fillId="0" borderId="114" xfId="0" applyNumberFormat="1" applyFont="1" applyFill="1" applyBorder="1" applyAlignment="1" applyProtection="1">
      <alignment horizontal="left"/>
    </xf>
    <xf numFmtId="1" fontId="10" fillId="0" borderId="115" xfId="0" applyNumberFormat="1" applyFont="1" applyFill="1" applyBorder="1" applyAlignment="1" applyProtection="1">
      <alignment horizontal="left"/>
    </xf>
    <xf numFmtId="1" fontId="10" fillId="0" borderId="29" xfId="0" applyNumberFormat="1" applyFont="1" applyFill="1" applyBorder="1" applyAlignment="1" applyProtection="1">
      <alignment horizontal="left"/>
    </xf>
    <xf numFmtId="0" fontId="5" fillId="0" borderId="0" xfId="0" applyFont="1" applyAlignment="1" applyProtection="1">
      <alignment horizontal="left"/>
    </xf>
    <xf numFmtId="173" fontId="18" fillId="0" borderId="0" xfId="0" applyNumberFormat="1" applyFont="1" applyProtection="1"/>
    <xf numFmtId="187" fontId="39" fillId="0" borderId="0" xfId="0" applyNumberFormat="1" applyFont="1" applyFill="1" applyBorder="1" applyAlignment="1" applyProtection="1">
      <alignment horizontal="left"/>
    </xf>
    <xf numFmtId="185" fontId="23" fillId="0" borderId="5" xfId="0" applyNumberFormat="1" applyFont="1" applyFill="1" applyBorder="1" applyAlignment="1" applyProtection="1">
      <alignment horizontal="right" vertical="center"/>
    </xf>
    <xf numFmtId="173" fontId="23" fillId="0" borderId="5" xfId="0" applyNumberFormat="1" applyFont="1" applyFill="1" applyBorder="1" applyAlignment="1" applyProtection="1">
      <alignment horizontal="right" vertical="center"/>
    </xf>
    <xf numFmtId="171" fontId="23" fillId="0" borderId="5" xfId="0" applyNumberFormat="1" applyFont="1" applyFill="1" applyBorder="1" applyAlignment="1" applyProtection="1">
      <alignment horizontal="right" vertical="center"/>
    </xf>
    <xf numFmtId="182" fontId="23" fillId="0" borderId="5" xfId="0" applyNumberFormat="1" applyFont="1" applyFill="1" applyBorder="1" applyAlignment="1" applyProtection="1">
      <alignment horizontal="right" vertical="center"/>
    </xf>
    <xf numFmtId="10" fontId="23" fillId="0" borderId="5" xfId="0" applyNumberFormat="1" applyFont="1" applyFill="1" applyBorder="1" applyAlignment="1" applyProtection="1">
      <alignment horizontal="right" vertical="center"/>
    </xf>
    <xf numFmtId="9" fontId="23" fillId="9" borderId="5" xfId="2" applyFont="1" applyFill="1" applyBorder="1" applyAlignment="1" applyProtection="1">
      <alignment horizontal="center" vertical="center" wrapText="1"/>
      <protection locked="0"/>
    </xf>
    <xf numFmtId="44" fontId="23" fillId="0" borderId="5" xfId="3" applyFont="1" applyBorder="1" applyAlignment="1" applyProtection="1"/>
    <xf numFmtId="44" fontId="23" fillId="0" borderId="31" xfId="3" applyFont="1" applyBorder="1" applyAlignment="1" applyProtection="1"/>
    <xf numFmtId="189" fontId="27" fillId="0" borderId="18" xfId="0" applyNumberFormat="1" applyFont="1" applyFill="1" applyBorder="1" applyAlignment="1" applyProtection="1">
      <alignment horizontal="right" vertical="center"/>
    </xf>
    <xf numFmtId="0" fontId="21" fillId="0" borderId="0" xfId="0" applyFont="1" applyAlignment="1" applyProtection="1">
      <alignment horizontal="right" vertical="top"/>
    </xf>
    <xf numFmtId="0" fontId="21" fillId="0" borderId="0" xfId="0" applyFont="1" applyAlignment="1" applyProtection="1">
      <alignment horizontal="right"/>
    </xf>
    <xf numFmtId="49" fontId="23" fillId="0" borderId="0" xfId="0" applyNumberFormat="1" applyFont="1" applyBorder="1" applyAlignment="1" applyProtection="1">
      <alignment vertical="center"/>
    </xf>
    <xf numFmtId="0" fontId="1" fillId="0" borderId="0" xfId="0" applyFont="1" applyBorder="1" applyProtection="1"/>
    <xf numFmtId="49" fontId="23" fillId="0" borderId="0" xfId="0" applyNumberFormat="1" applyFont="1" applyBorder="1" applyProtection="1"/>
    <xf numFmtId="49" fontId="3" fillId="9" borderId="35" xfId="0" applyNumberFormat="1" applyFont="1" applyFill="1" applyBorder="1" applyAlignment="1" applyProtection="1">
      <alignment horizontal="center" vertical="center" wrapText="1"/>
      <protection locked="0"/>
    </xf>
    <xf numFmtId="0" fontId="15" fillId="8" borderId="33" xfId="0" applyFont="1" applyFill="1" applyBorder="1" applyAlignment="1" applyProtection="1">
      <alignment horizontal="left" vertical="center" wrapText="1"/>
    </xf>
    <xf numFmtId="0" fontId="15" fillId="8" borderId="58" xfId="0" applyFont="1" applyFill="1" applyBorder="1" applyAlignment="1" applyProtection="1">
      <alignment horizontal="left" vertical="center" wrapText="1"/>
    </xf>
    <xf numFmtId="0" fontId="40" fillId="8" borderId="32" xfId="0" applyFont="1" applyFill="1" applyBorder="1" applyAlignment="1" applyProtection="1">
      <alignment horizontal="left" vertical="center"/>
    </xf>
    <xf numFmtId="190" fontId="10" fillId="9" borderId="26" xfId="0" applyNumberFormat="1" applyFont="1" applyFill="1" applyBorder="1" applyAlignment="1" applyProtection="1">
      <alignment horizontal="right" vertical="center"/>
      <protection locked="0"/>
    </xf>
    <xf numFmtId="190" fontId="10" fillId="9" borderId="6" xfId="0" applyNumberFormat="1" applyFont="1" applyFill="1" applyBorder="1" applyAlignment="1" applyProtection="1">
      <alignment horizontal="right" vertical="center"/>
      <protection locked="0"/>
    </xf>
    <xf numFmtId="183" fontId="10" fillId="9" borderId="1" xfId="0" applyNumberFormat="1" applyFont="1" applyFill="1" applyBorder="1" applyAlignment="1" applyProtection="1">
      <alignment horizontal="right" vertical="center"/>
      <protection locked="0"/>
    </xf>
    <xf numFmtId="183" fontId="10" fillId="9" borderId="2" xfId="0" applyNumberFormat="1" applyFont="1" applyFill="1" applyBorder="1" applyAlignment="1" applyProtection="1">
      <alignment horizontal="right" vertical="center"/>
      <protection locked="0"/>
    </xf>
    <xf numFmtId="170" fontId="3" fillId="6" borderId="36" xfId="0" applyNumberFormat="1" applyFont="1" applyFill="1" applyBorder="1" applyAlignment="1" applyProtection="1">
      <alignment horizontal="right" vertical="center"/>
    </xf>
    <xf numFmtId="170" fontId="3" fillId="6" borderId="63" xfId="0" applyNumberFormat="1" applyFont="1" applyFill="1" applyBorder="1" applyAlignment="1" applyProtection="1">
      <alignment horizontal="right" vertical="center"/>
    </xf>
    <xf numFmtId="0" fontId="15" fillId="8" borderId="33" xfId="0" applyFont="1" applyFill="1" applyBorder="1" applyAlignment="1" applyProtection="1">
      <alignment horizontal="right" vertical="center" wrapText="1"/>
    </xf>
    <xf numFmtId="0" fontId="15" fillId="8" borderId="58" xfId="0" applyFont="1" applyFill="1" applyBorder="1" applyAlignment="1" applyProtection="1">
      <alignment horizontal="right" vertical="center" wrapText="1"/>
    </xf>
    <xf numFmtId="170" fontId="3" fillId="9" borderId="35" xfId="0" applyNumberFormat="1" applyFont="1" applyFill="1" applyBorder="1" applyAlignment="1" applyProtection="1">
      <alignment horizontal="right" vertical="center"/>
    </xf>
    <xf numFmtId="170" fontId="3" fillId="9" borderId="63" xfId="0" applyNumberFormat="1" applyFont="1" applyFill="1" applyBorder="1" applyAlignment="1" applyProtection="1">
      <alignment horizontal="right" vertical="center"/>
    </xf>
    <xf numFmtId="168" fontId="10" fillId="9" borderId="64" xfId="0" applyNumberFormat="1" applyFont="1" applyFill="1" applyBorder="1" applyAlignment="1" applyProtection="1">
      <alignment horizontal="right" vertical="center"/>
      <protection locked="0"/>
    </xf>
    <xf numFmtId="173" fontId="10" fillId="9" borderId="30" xfId="0" applyNumberFormat="1" applyFont="1" applyFill="1" applyBorder="1" applyAlignment="1" applyProtection="1">
      <alignment horizontal="right" vertical="center"/>
      <protection locked="0"/>
    </xf>
    <xf numFmtId="168" fontId="10" fillId="9" borderId="67" xfId="0" applyNumberFormat="1" applyFont="1" applyFill="1" applyBorder="1" applyAlignment="1" applyProtection="1">
      <alignment horizontal="right" vertical="center"/>
      <protection locked="0"/>
    </xf>
    <xf numFmtId="0" fontId="15" fillId="8" borderId="29" xfId="0" applyFont="1" applyFill="1" applyBorder="1" applyAlignment="1" applyProtection="1">
      <alignment horizontal="left" vertical="center" wrapText="1"/>
    </xf>
    <xf numFmtId="0" fontId="15" fillId="8" borderId="34" xfId="0" applyFont="1" applyFill="1" applyBorder="1" applyAlignment="1" applyProtection="1">
      <alignment horizontal="left" vertical="center" wrapText="1"/>
    </xf>
    <xf numFmtId="0" fontId="21" fillId="0" borderId="0" xfId="0" applyFont="1" applyAlignment="1" applyProtection="1">
      <alignment horizontal="left"/>
    </xf>
    <xf numFmtId="0" fontId="36" fillId="8" borderId="21" xfId="0" applyFont="1" applyFill="1" applyBorder="1" applyAlignment="1" applyProtection="1">
      <alignment horizontal="center" vertical="center" wrapText="1"/>
    </xf>
    <xf numFmtId="164" fontId="10" fillId="9" borderId="117" xfId="1" applyFont="1" applyFill="1" applyBorder="1" applyAlignment="1" applyProtection="1">
      <alignment horizontal="center" vertical="center"/>
      <protection locked="0"/>
    </xf>
    <xf numFmtId="0" fontId="44" fillId="0" borderId="0" xfId="0" applyFont="1" applyAlignment="1" applyProtection="1"/>
    <xf numFmtId="0" fontId="41" fillId="8" borderId="65" xfId="0" applyFont="1" applyFill="1" applyBorder="1" applyAlignment="1" applyProtection="1">
      <alignment horizontal="center" vertical="top" wrapText="1"/>
    </xf>
    <xf numFmtId="0" fontId="24" fillId="0" borderId="0" xfId="0" applyFont="1" applyBorder="1" applyAlignment="1" applyProtection="1">
      <alignment horizontal="left" vertical="top" wrapText="1"/>
    </xf>
    <xf numFmtId="182" fontId="17" fillId="0" borderId="49" xfId="0" applyNumberFormat="1" applyFont="1" applyBorder="1" applyAlignment="1" applyProtection="1">
      <alignment horizontal="center" vertical="center"/>
    </xf>
    <xf numFmtId="0" fontId="0" fillId="0" borderId="50" xfId="0" applyBorder="1" applyAlignment="1" applyProtection="1"/>
    <xf numFmtId="174" fontId="15" fillId="0" borderId="0" xfId="0" applyNumberFormat="1" applyFont="1" applyFill="1" applyBorder="1" applyAlignment="1" applyProtection="1">
      <alignment horizontal="center" vertical="center"/>
    </xf>
    <xf numFmtId="0" fontId="31" fillId="0" borderId="0" xfId="0" applyFont="1" applyFill="1" applyBorder="1" applyAlignment="1" applyProtection="1">
      <alignment horizontal="center" vertical="center" wrapText="1"/>
    </xf>
    <xf numFmtId="174" fontId="41" fillId="6" borderId="5" xfId="0" applyNumberFormat="1" applyFont="1" applyFill="1" applyBorder="1" applyAlignment="1" applyProtection="1">
      <alignment horizontal="center" vertical="center"/>
    </xf>
    <xf numFmtId="192" fontId="10" fillId="9" borderId="3" xfId="0" applyNumberFormat="1" applyFont="1" applyFill="1" applyBorder="1" applyAlignment="1" applyProtection="1">
      <alignment horizontal="right" vertical="center"/>
      <protection locked="0"/>
    </xf>
    <xf numFmtId="192" fontId="10" fillId="9" borderId="2" xfId="0" applyNumberFormat="1" applyFont="1" applyFill="1" applyBorder="1" applyAlignment="1" applyProtection="1">
      <alignment horizontal="right" vertical="center"/>
      <protection locked="0"/>
    </xf>
    <xf numFmtId="193" fontId="10" fillId="9" borderId="67" xfId="3" applyNumberFormat="1" applyFont="1" applyFill="1" applyBorder="1" applyAlignment="1" applyProtection="1">
      <alignment horizontal="right" vertical="center"/>
      <protection locked="0"/>
    </xf>
    <xf numFmtId="193" fontId="10" fillId="9" borderId="64" xfId="3" applyNumberFormat="1" applyFont="1" applyFill="1" applyBorder="1" applyAlignment="1" applyProtection="1">
      <alignment horizontal="right" vertical="center"/>
      <protection locked="0"/>
    </xf>
    <xf numFmtId="44" fontId="23" fillId="0" borderId="12" xfId="3" applyFont="1" applyBorder="1" applyAlignment="1" applyProtection="1"/>
    <xf numFmtId="189" fontId="27" fillId="0" borderId="11" xfId="0" applyNumberFormat="1" applyFont="1" applyFill="1" applyBorder="1" applyAlignment="1" applyProtection="1">
      <alignment horizontal="right" vertical="center"/>
    </xf>
    <xf numFmtId="188" fontId="21" fillId="0" borderId="0" xfId="0" applyNumberFormat="1" applyFont="1" applyFill="1" applyBorder="1" applyAlignment="1" applyProtection="1">
      <alignment horizontal="left" vertical="center"/>
    </xf>
    <xf numFmtId="0" fontId="42" fillId="8" borderId="68" xfId="0" applyFont="1" applyFill="1" applyBorder="1" applyAlignment="1" applyProtection="1">
      <alignment vertical="top"/>
    </xf>
    <xf numFmtId="0" fontId="42" fillId="8" borderId="14" xfId="0" applyFont="1" applyFill="1" applyBorder="1" applyAlignment="1" applyProtection="1">
      <alignment vertical="top"/>
    </xf>
    <xf numFmtId="0" fontId="23" fillId="9" borderId="5" xfId="0" applyNumberFormat="1" applyFont="1" applyFill="1" applyBorder="1" applyAlignment="1" applyProtection="1">
      <alignment horizontal="center" vertical="center"/>
      <protection locked="0"/>
    </xf>
    <xf numFmtId="0" fontId="0" fillId="0" borderId="89" xfId="0" applyBorder="1" applyAlignment="1" applyProtection="1">
      <alignment horizontal="left"/>
    </xf>
    <xf numFmtId="0" fontId="0" fillId="0" borderId="89" xfId="0" applyBorder="1" applyAlignment="1" applyProtection="1"/>
    <xf numFmtId="0" fontId="34" fillId="0" borderId="89" xfId="0" applyFont="1" applyBorder="1" applyAlignment="1" applyProtection="1">
      <alignment horizontal="center" vertical="center"/>
    </xf>
    <xf numFmtId="0" fontId="33" fillId="0" borderId="96" xfId="0" applyFont="1" applyBorder="1" applyAlignment="1" applyProtection="1">
      <alignment horizontal="center"/>
    </xf>
    <xf numFmtId="0" fontId="0" fillId="0" borderId="93" xfId="0" applyBorder="1" applyAlignment="1" applyProtection="1">
      <alignment horizontal="left"/>
    </xf>
    <xf numFmtId="0" fontId="0" fillId="0" borderId="0" xfId="0" applyAlignment="1" applyProtection="1">
      <alignment horizontal="left"/>
    </xf>
    <xf numFmtId="0" fontId="32" fillId="0" borderId="0" xfId="0" applyFont="1" applyAlignment="1" applyProtection="1">
      <alignment horizontal="right" vertical="center"/>
    </xf>
    <xf numFmtId="0" fontId="31" fillId="6" borderId="58" xfId="0" applyFont="1" applyFill="1" applyBorder="1" applyAlignment="1" applyProtection="1">
      <alignment horizontal="center" vertical="center" wrapText="1"/>
    </xf>
    <xf numFmtId="0" fontId="31" fillId="0" borderId="58" xfId="0" applyFont="1" applyBorder="1" applyAlignment="1" applyProtection="1">
      <alignment horizontal="center" vertical="center" wrapText="1"/>
    </xf>
    <xf numFmtId="0" fontId="0" fillId="0" borderId="94" xfId="0" applyBorder="1" applyAlignment="1" applyProtection="1">
      <alignment horizontal="left"/>
    </xf>
    <xf numFmtId="0" fontId="0" fillId="0" borderId="90" xfId="0" applyBorder="1" applyAlignment="1" applyProtection="1">
      <alignment horizontal="left"/>
    </xf>
    <xf numFmtId="0" fontId="0" fillId="0" borderId="90" xfId="0" applyBorder="1" applyAlignment="1" applyProtection="1"/>
    <xf numFmtId="0" fontId="0" fillId="9" borderId="23" xfId="0" applyFill="1" applyBorder="1" applyAlignment="1" applyProtection="1">
      <alignment horizontal="right" vertical="center" wrapText="1"/>
    </xf>
    <xf numFmtId="0" fontId="0" fillId="0" borderId="0" xfId="0" applyProtection="1"/>
    <xf numFmtId="0" fontId="11" fillId="0" borderId="24" xfId="0" applyFont="1" applyFill="1" applyBorder="1" applyAlignment="1" applyProtection="1">
      <alignment horizontal="left" vertical="center" wrapText="1"/>
    </xf>
    <xf numFmtId="170" fontId="10" fillId="0" borderId="23" xfId="0" applyNumberFormat="1" applyFont="1" applyFill="1" applyBorder="1" applyAlignment="1" applyProtection="1">
      <alignment horizontal="center" vertical="center"/>
    </xf>
    <xf numFmtId="170" fontId="10" fillId="0" borderId="64" xfId="0" applyNumberFormat="1" applyFont="1" applyFill="1" applyBorder="1" applyAlignment="1" applyProtection="1">
      <alignment horizontal="center" vertical="center"/>
    </xf>
    <xf numFmtId="0" fontId="11" fillId="0" borderId="25" xfId="0" applyFont="1" applyFill="1" applyBorder="1" applyAlignment="1" applyProtection="1">
      <alignment horizontal="left" vertical="center" wrapText="1"/>
    </xf>
    <xf numFmtId="170" fontId="11" fillId="0" borderId="1" xfId="0" applyNumberFormat="1" applyFont="1" applyFill="1" applyBorder="1" applyAlignment="1" applyProtection="1">
      <alignment horizontal="center" vertical="center"/>
    </xf>
    <xf numFmtId="170" fontId="11" fillId="0" borderId="2" xfId="0" applyNumberFormat="1"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168" fontId="10" fillId="7" borderId="0" xfId="0" applyNumberFormat="1" applyFont="1" applyFill="1" applyBorder="1" applyAlignment="1" applyProtection="1">
      <alignment horizontal="center" vertical="center"/>
    </xf>
    <xf numFmtId="0" fontId="11" fillId="7" borderId="0" xfId="0" applyFont="1" applyFill="1" applyBorder="1" applyAlignment="1" applyProtection="1">
      <alignment horizontal="left" vertical="center" wrapText="1"/>
    </xf>
    <xf numFmtId="0" fontId="11" fillId="0" borderId="5" xfId="0" applyFont="1" applyFill="1" applyBorder="1" applyAlignment="1" applyProtection="1">
      <alignment horizontal="left" vertical="center" wrapText="1"/>
    </xf>
    <xf numFmtId="168" fontId="10" fillId="0" borderId="24" xfId="0" applyNumberFormat="1" applyFont="1" applyFill="1" applyBorder="1" applyAlignment="1" applyProtection="1">
      <alignment horizontal="right" vertical="center"/>
    </xf>
    <xf numFmtId="168" fontId="10" fillId="0" borderId="64" xfId="0" applyNumberFormat="1" applyFont="1" applyFill="1" applyBorder="1" applyAlignment="1" applyProtection="1">
      <alignment horizontal="right" vertical="center"/>
    </xf>
    <xf numFmtId="170" fontId="10" fillId="9" borderId="23" xfId="0" applyNumberFormat="1" applyFont="1" applyFill="1" applyBorder="1" applyAlignment="1" applyProtection="1">
      <alignment horizontal="right" vertical="center"/>
    </xf>
    <xf numFmtId="170" fontId="10" fillId="9" borderId="64" xfId="0" applyNumberFormat="1" applyFont="1" applyFill="1" applyBorder="1" applyAlignment="1" applyProtection="1">
      <alignment horizontal="right" vertical="center"/>
    </xf>
    <xf numFmtId="0" fontId="11" fillId="0" borderId="62" xfId="0" applyFont="1" applyFill="1" applyBorder="1" applyAlignment="1" applyProtection="1">
      <alignment horizontal="left" vertical="center" wrapText="1"/>
    </xf>
    <xf numFmtId="170" fontId="10" fillId="9" borderId="86" xfId="0" applyNumberFormat="1" applyFont="1" applyFill="1" applyBorder="1" applyAlignment="1" applyProtection="1">
      <alignment horizontal="right" vertical="center"/>
    </xf>
    <xf numFmtId="170" fontId="10" fillId="9" borderId="88" xfId="0" applyNumberFormat="1" applyFont="1" applyFill="1" applyBorder="1" applyAlignment="1" applyProtection="1">
      <alignment horizontal="right" vertical="center"/>
    </xf>
    <xf numFmtId="165" fontId="10" fillId="7" borderId="0" xfId="0" applyNumberFormat="1" applyFont="1" applyFill="1" applyBorder="1" applyAlignment="1" applyProtection="1">
      <alignment horizontal="center" vertical="center"/>
    </xf>
    <xf numFmtId="0" fontId="25" fillId="0" borderId="0" xfId="0" applyFont="1" applyBorder="1" applyAlignment="1" applyProtection="1">
      <alignment horizontal="left" vertical="top" wrapText="1"/>
    </xf>
    <xf numFmtId="0" fontId="47" fillId="0" borderId="0" xfId="4" applyBorder="1" applyProtection="1"/>
    <xf numFmtId="0" fontId="46" fillId="0" borderId="0" xfId="0" applyFont="1" applyAlignment="1" applyProtection="1">
      <alignment horizontal="right"/>
    </xf>
    <xf numFmtId="0" fontId="3" fillId="0" borderId="0" xfId="0" applyFont="1" applyAlignment="1" applyProtection="1">
      <alignment horizontal="right"/>
    </xf>
    <xf numFmtId="0" fontId="48" fillId="0" borderId="0" xfId="0" applyFont="1" applyFill="1" applyBorder="1" applyProtection="1"/>
    <xf numFmtId="0" fontId="48" fillId="0" borderId="0" xfId="0" applyFont="1" applyFill="1" applyBorder="1" applyAlignment="1" applyProtection="1"/>
    <xf numFmtId="0" fontId="48" fillId="0" borderId="0" xfId="0" applyFont="1" applyFill="1" applyBorder="1" applyAlignment="1" applyProtection="1">
      <alignment horizontal="center" vertical="center" wrapText="1"/>
    </xf>
    <xf numFmtId="0" fontId="53" fillId="0" borderId="0" xfId="0" applyFont="1" applyFill="1" applyBorder="1" applyAlignment="1" applyProtection="1">
      <alignment horizontal="center"/>
    </xf>
    <xf numFmtId="166" fontId="53" fillId="0" borderId="0" xfId="0" applyNumberFormat="1" applyFont="1" applyFill="1" applyBorder="1" applyAlignment="1" applyProtection="1">
      <alignment horizontal="center"/>
    </xf>
    <xf numFmtId="9" fontId="53" fillId="0" borderId="0" xfId="2" applyFont="1" applyFill="1" applyBorder="1" applyAlignment="1" applyProtection="1">
      <alignment horizontal="center"/>
    </xf>
    <xf numFmtId="0" fontId="48" fillId="0" borderId="0" xfId="0" applyFont="1" applyFill="1" applyBorder="1" applyAlignment="1" applyProtection="1">
      <alignment vertical="top"/>
    </xf>
    <xf numFmtId="0" fontId="30" fillId="0" borderId="0" xfId="0" applyFont="1" applyFill="1" applyBorder="1" applyAlignment="1" applyProtection="1">
      <alignment vertical="top" wrapText="1"/>
    </xf>
    <xf numFmtId="0" fontId="48" fillId="0" borderId="0" xfId="0" applyFont="1" applyFill="1" applyBorder="1" applyAlignment="1" applyProtection="1">
      <alignment vertical="center"/>
    </xf>
    <xf numFmtId="0" fontId="58" fillId="0" borderId="0" xfId="0" applyFont="1" applyFill="1" applyBorder="1" applyAlignment="1" applyProtection="1">
      <alignment horizontal="left" vertical="top"/>
    </xf>
    <xf numFmtId="0" fontId="39" fillId="0" borderId="0" xfId="0" applyFont="1" applyFill="1" applyBorder="1" applyAlignment="1" applyProtection="1">
      <alignment horizontal="left"/>
    </xf>
    <xf numFmtId="0" fontId="48" fillId="0" borderId="0" xfId="0" applyFont="1" applyFill="1" applyBorder="1" applyAlignment="1" applyProtection="1">
      <alignment horizontal="left"/>
    </xf>
    <xf numFmtId="0" fontId="39" fillId="0" borderId="0" xfId="0" applyFont="1" applyFill="1" applyBorder="1" applyProtection="1"/>
    <xf numFmtId="0" fontId="39" fillId="0" borderId="0" xfId="0" applyFont="1" applyFill="1" applyBorder="1" applyAlignment="1" applyProtection="1">
      <alignment vertical="center"/>
    </xf>
    <xf numFmtId="171" fontId="53" fillId="0" borderId="0" xfId="0" applyNumberFormat="1" applyFont="1" applyFill="1" applyBorder="1" applyAlignment="1" applyProtection="1">
      <alignment horizontal="center"/>
    </xf>
    <xf numFmtId="0" fontId="39" fillId="0" borderId="0" xfId="0" applyFont="1" applyFill="1" applyBorder="1" applyAlignment="1" applyProtection="1"/>
    <xf numFmtId="2" fontId="48" fillId="0" borderId="0" xfId="0" applyNumberFormat="1" applyFont="1" applyFill="1" applyBorder="1" applyAlignment="1" applyProtection="1">
      <alignment horizontal="center"/>
    </xf>
    <xf numFmtId="2" fontId="48" fillId="0" borderId="0" xfId="0" applyNumberFormat="1" applyFont="1" applyFill="1" applyBorder="1" applyProtection="1"/>
    <xf numFmtId="0" fontId="49"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left" vertical="center" wrapText="1"/>
      <protection locked="0"/>
    </xf>
    <xf numFmtId="0" fontId="30" fillId="0" borderId="0" xfId="0" applyFont="1" applyFill="1" applyBorder="1" applyAlignment="1" applyProtection="1">
      <alignment wrapText="1"/>
    </xf>
    <xf numFmtId="0" fontId="52" fillId="0" borderId="0" xfId="0" applyFont="1" applyFill="1" applyBorder="1" applyAlignment="1" applyProtection="1">
      <alignment horizontal="center" vertical="center" wrapText="1"/>
    </xf>
    <xf numFmtId="180" fontId="54" fillId="0" borderId="0" xfId="2" applyNumberFormat="1" applyFont="1" applyFill="1" applyBorder="1" applyAlignment="1" applyProtection="1">
      <alignment horizontal="center" vertical="center"/>
      <protection locked="0"/>
    </xf>
    <xf numFmtId="49" fontId="30" fillId="0" borderId="0" xfId="0" applyNumberFormat="1" applyFont="1" applyFill="1" applyBorder="1" applyAlignment="1" applyProtection="1">
      <alignment horizontal="left"/>
      <protection locked="0"/>
    </xf>
    <xf numFmtId="167" fontId="30" fillId="0" borderId="0" xfId="0" applyNumberFormat="1" applyFont="1" applyFill="1" applyBorder="1" applyAlignment="1" applyProtection="1">
      <alignment horizontal="center"/>
      <protection locked="0"/>
    </xf>
    <xf numFmtId="180" fontId="54" fillId="0" borderId="0" xfId="2" applyNumberFormat="1" applyFont="1" applyFill="1" applyBorder="1" applyAlignment="1" applyProtection="1">
      <alignment horizontal="center"/>
      <protection locked="0"/>
    </xf>
    <xf numFmtId="0" fontId="55" fillId="0" borderId="0" xfId="0" applyFont="1" applyFill="1" applyBorder="1" applyAlignment="1" applyProtection="1">
      <alignment horizontal="left" vertical="center" wrapText="1"/>
    </xf>
    <xf numFmtId="165" fontId="48" fillId="0" borderId="0" xfId="0" applyNumberFormat="1" applyFont="1" applyFill="1" applyBorder="1" applyProtection="1"/>
    <xf numFmtId="0" fontId="52" fillId="0" borderId="0" xfId="0" applyFont="1" applyFill="1" applyBorder="1" applyAlignment="1" applyProtection="1">
      <alignment horizontal="left" vertical="center" wrapText="1"/>
    </xf>
    <xf numFmtId="165" fontId="48" fillId="0" borderId="0" xfId="0" applyNumberFormat="1" applyFont="1" applyFill="1" applyBorder="1" applyAlignment="1" applyProtection="1">
      <alignment horizontal="right"/>
    </xf>
    <xf numFmtId="49" fontId="30" fillId="0" borderId="0" xfId="0" applyNumberFormat="1" applyFont="1" applyFill="1" applyBorder="1" applyAlignment="1" applyProtection="1">
      <alignment horizontal="center"/>
      <protection locked="0"/>
    </xf>
    <xf numFmtId="166" fontId="30" fillId="0" borderId="0" xfId="0" applyNumberFormat="1" applyFont="1" applyFill="1" applyBorder="1" applyAlignment="1" applyProtection="1">
      <alignment horizontal="center"/>
      <protection locked="0"/>
    </xf>
    <xf numFmtId="0" fontId="52" fillId="0" borderId="0" xfId="0" applyFont="1" applyFill="1" applyBorder="1" applyAlignment="1" applyProtection="1">
      <alignment horizontal="center" vertical="center"/>
    </xf>
    <xf numFmtId="0" fontId="30" fillId="0" borderId="0" xfId="0" applyFont="1" applyFill="1" applyBorder="1" applyAlignment="1" applyProtection="1">
      <alignment horizontal="center"/>
      <protection locked="0"/>
    </xf>
    <xf numFmtId="173" fontId="53" fillId="0" borderId="0" xfId="3" applyNumberFormat="1" applyFont="1" applyFill="1" applyBorder="1" applyAlignment="1" applyProtection="1">
      <alignment horizontal="center"/>
      <protection locked="0"/>
    </xf>
    <xf numFmtId="170" fontId="53" fillId="0" borderId="0" xfId="0" applyNumberFormat="1" applyFont="1" applyFill="1" applyBorder="1" applyAlignment="1" applyProtection="1">
      <alignment horizontal="center"/>
      <protection locked="0"/>
    </xf>
    <xf numFmtId="165" fontId="59" fillId="0" borderId="0" xfId="0" applyNumberFormat="1" applyFont="1" applyFill="1" applyBorder="1" applyAlignment="1" applyProtection="1">
      <alignment horizontal="center" vertical="center"/>
      <protection locked="0"/>
    </xf>
    <xf numFmtId="0" fontId="30" fillId="0" borderId="0" xfId="0" applyFont="1" applyFill="1" applyBorder="1" applyProtection="1"/>
    <xf numFmtId="0" fontId="60" fillId="0" borderId="0" xfId="0" applyFont="1" applyFill="1" applyBorder="1" applyAlignment="1" applyProtection="1">
      <alignment horizontal="left" vertical="center" wrapText="1"/>
      <protection locked="0"/>
    </xf>
    <xf numFmtId="49" fontId="60" fillId="0" borderId="0" xfId="0" applyNumberFormat="1" applyFont="1" applyFill="1" applyBorder="1" applyAlignment="1" applyProtection="1">
      <alignment horizontal="left" vertical="center" wrapText="1"/>
      <protection locked="0"/>
    </xf>
    <xf numFmtId="0" fontId="56" fillId="0" borderId="0" xfId="0" applyFont="1" applyFill="1" applyBorder="1" applyProtection="1"/>
    <xf numFmtId="0" fontId="30" fillId="0" borderId="0" xfId="0" applyFont="1" applyFill="1" applyBorder="1"/>
    <xf numFmtId="165" fontId="30" fillId="0" borderId="0" xfId="0" applyNumberFormat="1" applyFont="1" applyFill="1" applyBorder="1" applyAlignment="1" applyProtection="1">
      <alignment horizontal="center"/>
      <protection locked="0"/>
    </xf>
    <xf numFmtId="174" fontId="53" fillId="0" borderId="0" xfId="0" applyNumberFormat="1" applyFont="1" applyFill="1" applyBorder="1" applyAlignment="1" applyProtection="1">
      <alignment horizontal="center"/>
      <protection locked="0"/>
    </xf>
    <xf numFmtId="165" fontId="53" fillId="0" borderId="0" xfId="0" applyNumberFormat="1" applyFont="1" applyFill="1" applyBorder="1" applyAlignment="1" applyProtection="1">
      <alignment horizontal="center"/>
      <protection locked="0"/>
    </xf>
    <xf numFmtId="1" fontId="52" fillId="0" borderId="0" xfId="0" applyNumberFormat="1" applyFont="1" applyFill="1" applyBorder="1" applyAlignment="1" applyProtection="1">
      <alignment horizontal="center" vertical="center"/>
    </xf>
    <xf numFmtId="1" fontId="56" fillId="0" borderId="0" xfId="0" applyNumberFormat="1" applyFont="1" applyFill="1" applyBorder="1" applyAlignment="1" applyProtection="1">
      <alignment horizontal="left" vertical="center"/>
    </xf>
    <xf numFmtId="0" fontId="39" fillId="0" borderId="0" xfId="0" applyFont="1" applyFill="1" applyBorder="1" applyAlignment="1" applyProtection="1">
      <alignment horizontal="center" vertical="center" wrapText="1"/>
    </xf>
    <xf numFmtId="49" fontId="39" fillId="0" borderId="0" xfId="0" applyNumberFormat="1" applyFont="1" applyFill="1" applyBorder="1" applyAlignment="1" applyProtection="1">
      <alignment horizontal="left" vertical="center"/>
      <protection locked="0"/>
    </xf>
    <xf numFmtId="166" fontId="39" fillId="0" borderId="0" xfId="0" applyNumberFormat="1" applyFont="1" applyFill="1" applyBorder="1" applyAlignment="1" applyProtection="1">
      <alignment horizontal="center" vertical="center"/>
      <protection locked="0"/>
    </xf>
    <xf numFmtId="0" fontId="61" fillId="0" borderId="0" xfId="0" applyFont="1" applyFill="1" applyBorder="1" applyAlignment="1" applyProtection="1"/>
    <xf numFmtId="176" fontId="48" fillId="0" borderId="0" xfId="0" applyNumberFormat="1" applyFont="1" applyFill="1" applyBorder="1" applyProtection="1"/>
    <xf numFmtId="0" fontId="52" fillId="0" borderId="0" xfId="0" applyFont="1" applyFill="1" applyBorder="1" applyAlignment="1" applyProtection="1">
      <alignment horizontal="right" vertical="center"/>
    </xf>
    <xf numFmtId="1" fontId="52" fillId="0" borderId="0" xfId="0" applyNumberFormat="1" applyFont="1" applyFill="1" applyBorder="1" applyAlignment="1" applyProtection="1">
      <alignment horizontal="left" vertical="center"/>
    </xf>
    <xf numFmtId="164" fontId="61" fillId="0" borderId="0" xfId="1" applyFont="1" applyFill="1" applyBorder="1" applyAlignment="1" applyProtection="1">
      <alignment horizontal="left"/>
    </xf>
    <xf numFmtId="164" fontId="30" fillId="0" borderId="0" xfId="1" applyFont="1" applyFill="1" applyBorder="1" applyAlignment="1" applyProtection="1">
      <alignment horizontal="left"/>
    </xf>
    <xf numFmtId="179" fontId="48" fillId="0" borderId="0" xfId="1" applyNumberFormat="1" applyFont="1" applyFill="1" applyBorder="1" applyProtection="1"/>
    <xf numFmtId="173" fontId="30" fillId="0" borderId="0" xfId="0" applyNumberFormat="1" applyFont="1" applyFill="1" applyBorder="1" applyAlignment="1" applyProtection="1">
      <alignment horizontal="left"/>
    </xf>
    <xf numFmtId="173" fontId="48" fillId="0" borderId="0" xfId="0" applyNumberFormat="1" applyFont="1" applyFill="1" applyBorder="1" applyProtection="1"/>
    <xf numFmtId="9" fontId="61" fillId="0" borderId="0" xfId="2" applyFont="1" applyFill="1" applyBorder="1" applyAlignment="1" applyProtection="1">
      <alignment horizontal="left"/>
    </xf>
    <xf numFmtId="181" fontId="61" fillId="0" borderId="0" xfId="2" applyNumberFormat="1" applyFont="1" applyFill="1" applyBorder="1" applyAlignment="1" applyProtection="1">
      <alignment horizontal="left"/>
    </xf>
    <xf numFmtId="181" fontId="54" fillId="0" borderId="0" xfId="2" applyNumberFormat="1" applyFont="1" applyFill="1" applyBorder="1" applyAlignment="1" applyProtection="1">
      <alignment horizontal="left"/>
    </xf>
    <xf numFmtId="175" fontId="48" fillId="0" borderId="0" xfId="0" applyNumberFormat="1" applyFont="1" applyFill="1" applyBorder="1" applyProtection="1"/>
    <xf numFmtId="0" fontId="63" fillId="0" borderId="0" xfId="0" applyFont="1" applyFill="1" applyBorder="1" applyProtection="1"/>
    <xf numFmtId="171" fontId="48" fillId="0" borderId="0" xfId="0" applyNumberFormat="1" applyFont="1" applyFill="1" applyBorder="1" applyProtection="1"/>
    <xf numFmtId="0" fontId="63" fillId="0" borderId="0" xfId="0" applyFont="1" applyFill="1" applyBorder="1" applyAlignment="1" applyProtection="1">
      <alignment horizontal="left" vertical="center"/>
    </xf>
    <xf numFmtId="173" fontId="63" fillId="0" borderId="0" xfId="0" applyNumberFormat="1" applyFont="1" applyFill="1" applyBorder="1" applyAlignment="1" applyProtection="1">
      <alignment horizontal="center" vertical="center"/>
    </xf>
    <xf numFmtId="173" fontId="48" fillId="0" borderId="0" xfId="0" applyNumberFormat="1" applyFont="1" applyFill="1" applyBorder="1" applyAlignment="1" applyProtection="1">
      <alignment horizontal="center"/>
    </xf>
    <xf numFmtId="191" fontId="63" fillId="0" borderId="0" xfId="1" applyNumberFormat="1" applyFont="1" applyFill="1" applyBorder="1" applyAlignment="1" applyProtection="1">
      <alignment horizontal="left" vertical="center"/>
    </xf>
    <xf numFmtId="173" fontId="55" fillId="0" borderId="0" xfId="0" applyNumberFormat="1" applyFont="1" applyFill="1" applyBorder="1" applyAlignment="1" applyProtection="1">
      <alignment horizontal="center" vertical="center"/>
    </xf>
    <xf numFmtId="10" fontId="39" fillId="0" borderId="0" xfId="2" applyNumberFormat="1" applyFont="1" applyFill="1" applyBorder="1" applyProtection="1"/>
    <xf numFmtId="0" fontId="64" fillId="0" borderId="0" xfId="0" applyFont="1" applyFill="1" applyBorder="1" applyAlignment="1" applyProtection="1">
      <alignment horizontal="center" vertical="center" wrapText="1"/>
    </xf>
    <xf numFmtId="184" fontId="39" fillId="0" borderId="0" xfId="0" applyNumberFormat="1" applyFont="1" applyFill="1" applyBorder="1" applyAlignment="1" applyProtection="1">
      <alignment horizontal="center" vertical="center"/>
    </xf>
    <xf numFmtId="9" fontId="39" fillId="0" borderId="0" xfId="2" applyFont="1" applyFill="1" applyBorder="1" applyProtection="1"/>
    <xf numFmtId="0" fontId="39" fillId="0" borderId="0" xfId="0" applyNumberFormat="1" applyFont="1" applyFill="1" applyBorder="1" applyAlignment="1" applyProtection="1">
      <alignment horizontal="center"/>
    </xf>
    <xf numFmtId="167" fontId="39" fillId="0" borderId="0" xfId="0" applyNumberFormat="1" applyFont="1" applyFill="1" applyBorder="1" applyAlignment="1" applyProtection="1">
      <alignment horizontal="center" vertical="center"/>
      <protection locked="0"/>
    </xf>
    <xf numFmtId="0" fontId="39" fillId="0" borderId="0" xfId="0" applyNumberFormat="1" applyFont="1" applyFill="1" applyBorder="1" applyProtection="1"/>
    <xf numFmtId="2" fontId="39" fillId="0" borderId="0" xfId="0" applyNumberFormat="1" applyFont="1" applyFill="1" applyBorder="1" applyProtection="1"/>
    <xf numFmtId="191" fontId="55" fillId="0" borderId="0" xfId="1" applyNumberFormat="1" applyFont="1" applyFill="1" applyBorder="1" applyAlignment="1" applyProtection="1">
      <alignment horizontal="left" vertical="center"/>
    </xf>
    <xf numFmtId="0" fontId="48" fillId="0" borderId="0" xfId="0" applyFont="1" applyFill="1" applyBorder="1" applyAlignment="1" applyProtection="1">
      <alignment horizontal="right"/>
    </xf>
    <xf numFmtId="0" fontId="54"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170" fontId="48" fillId="0" borderId="0" xfId="0" applyNumberFormat="1" applyFont="1" applyFill="1" applyBorder="1" applyAlignment="1" applyProtection="1">
      <alignment horizontal="center"/>
    </xf>
    <xf numFmtId="49" fontId="48" fillId="0" borderId="0" xfId="0" applyNumberFormat="1" applyFont="1" applyFill="1" applyBorder="1" applyProtection="1"/>
    <xf numFmtId="177" fontId="48" fillId="0" borderId="0" xfId="0" applyNumberFormat="1" applyFont="1" applyFill="1" applyBorder="1" applyProtection="1"/>
    <xf numFmtId="178" fontId="48" fillId="0" borderId="0" xfId="0" applyNumberFormat="1" applyFont="1" applyFill="1" applyBorder="1" applyAlignment="1" applyProtection="1">
      <alignment horizontal="right"/>
    </xf>
    <xf numFmtId="178" fontId="48" fillId="0" borderId="0" xfId="0" applyNumberFormat="1" applyFont="1" applyFill="1" applyBorder="1" applyProtection="1"/>
    <xf numFmtId="0" fontId="44" fillId="0" borderId="0" xfId="0" applyFont="1" applyAlignment="1" applyProtection="1">
      <alignment vertical="center"/>
    </xf>
    <xf numFmtId="0" fontId="0" fillId="0" borderId="0" xfId="0" applyAlignment="1">
      <alignment vertical="center"/>
    </xf>
    <xf numFmtId="0" fontId="1" fillId="0" borderId="0" xfId="0" applyFont="1" applyAlignment="1" applyProtection="1"/>
    <xf numFmtId="0" fontId="65" fillId="0" borderId="0" xfId="0" applyFont="1" applyAlignment="1" applyProtection="1">
      <alignment horizontal="left" vertical="center"/>
    </xf>
    <xf numFmtId="0" fontId="28" fillId="8" borderId="5" xfId="0" applyFont="1" applyFill="1" applyBorder="1" applyAlignment="1" applyProtection="1">
      <alignment wrapText="1"/>
    </xf>
    <xf numFmtId="0" fontId="29" fillId="8" borderId="5" xfId="0" applyFont="1" applyFill="1" applyBorder="1" applyAlignment="1" applyProtection="1">
      <alignment wrapText="1"/>
    </xf>
    <xf numFmtId="0" fontId="0" fillId="7" borderId="0" xfId="0" applyFill="1" applyBorder="1" applyProtection="1"/>
    <xf numFmtId="0" fontId="38" fillId="0" borderId="0" xfId="0" applyFont="1" applyProtection="1"/>
    <xf numFmtId="0" fontId="31" fillId="0" borderId="0" xfId="0" applyFont="1" applyProtection="1"/>
    <xf numFmtId="0" fontId="0" fillId="0" borderId="0" xfId="0" applyFill="1" applyBorder="1" applyProtection="1"/>
    <xf numFmtId="0" fontId="30" fillId="11" borderId="31" xfId="0" applyFont="1" applyFill="1" applyBorder="1" applyProtection="1"/>
    <xf numFmtId="0" fontId="30" fillId="11" borderId="0" xfId="0" applyFont="1" applyFill="1" applyBorder="1" applyProtection="1"/>
    <xf numFmtId="0" fontId="45" fillId="7" borderId="29" xfId="0" applyFont="1" applyFill="1" applyBorder="1" applyProtection="1"/>
    <xf numFmtId="0" fontId="0" fillId="0" borderId="0" xfId="0" applyFill="1" applyBorder="1" applyAlignment="1" applyProtection="1">
      <alignment horizontal="right"/>
    </xf>
    <xf numFmtId="0" fontId="0" fillId="0" borderId="0" xfId="0" applyFill="1" applyBorder="1" applyAlignment="1" applyProtection="1">
      <alignment horizontal="left"/>
    </xf>
    <xf numFmtId="0" fontId="0" fillId="8" borderId="5" xfId="0" applyFill="1" applyBorder="1" applyProtection="1"/>
    <xf numFmtId="0" fontId="0" fillId="11" borderId="0" xfId="0" applyFill="1" applyBorder="1" applyProtection="1"/>
    <xf numFmtId="0" fontId="0" fillId="8" borderId="18" xfId="0" applyFill="1" applyBorder="1" applyProtection="1"/>
    <xf numFmtId="0" fontId="0" fillId="0" borderId="5" xfId="0" applyBorder="1" applyProtection="1"/>
    <xf numFmtId="0" fontId="0" fillId="0" borderId="0" xfId="0" applyFill="1" applyProtection="1"/>
    <xf numFmtId="0" fontId="0" fillId="0" borderId="0" xfId="0" applyAlignment="1" applyProtection="1">
      <alignment horizontal="right"/>
    </xf>
    <xf numFmtId="0" fontId="0" fillId="8" borderId="62" xfId="0" applyFill="1" applyBorder="1" applyProtection="1"/>
    <xf numFmtId="0" fontId="0" fillId="8" borderId="22" xfId="0" applyFill="1" applyBorder="1" applyProtection="1"/>
    <xf numFmtId="0" fontId="0" fillId="8" borderId="36" xfId="0" applyFill="1" applyBorder="1" applyProtection="1"/>
    <xf numFmtId="0" fontId="0" fillId="8" borderId="24" xfId="0" applyFill="1" applyBorder="1" applyProtection="1"/>
    <xf numFmtId="1" fontId="0" fillId="8" borderId="24" xfId="0" applyNumberFormat="1" applyFill="1" applyBorder="1" applyProtection="1"/>
    <xf numFmtId="1" fontId="0" fillId="11" borderId="0" xfId="0" applyNumberFormat="1" applyFill="1" applyBorder="1" applyProtection="1"/>
    <xf numFmtId="0" fontId="66" fillId="11" borderId="0" xfId="0" applyFont="1" applyFill="1" applyBorder="1" applyProtection="1"/>
    <xf numFmtId="0" fontId="0" fillId="0" borderId="18" xfId="0" applyFill="1" applyBorder="1" applyProtection="1">
      <protection locked="0"/>
    </xf>
    <xf numFmtId="0" fontId="0" fillId="0" borderId="5" xfId="0" applyFill="1" applyBorder="1" applyProtection="1">
      <protection locked="0"/>
    </xf>
    <xf numFmtId="0" fontId="0" fillId="0" borderId="5" xfId="0" applyBorder="1" applyProtection="1">
      <protection locked="0"/>
    </xf>
    <xf numFmtId="0" fontId="0" fillId="11" borderId="0" xfId="0" applyFill="1" applyProtection="1">
      <protection locked="0"/>
    </xf>
    <xf numFmtId="0" fontId="28" fillId="0" borderId="7" xfId="0" applyFont="1" applyBorder="1" applyProtection="1">
      <protection locked="0"/>
    </xf>
    <xf numFmtId="0" fontId="0" fillId="0" borderId="0" xfId="0" applyProtection="1">
      <protection locked="0"/>
    </xf>
    <xf numFmtId="0" fontId="0" fillId="7" borderId="0" xfId="0" applyFill="1"/>
    <xf numFmtId="0" fontId="67" fillId="7" borderId="0" xfId="0" applyFont="1" applyFill="1"/>
    <xf numFmtId="0" fontId="31" fillId="7" borderId="0" xfId="0" applyFont="1" applyFill="1"/>
    <xf numFmtId="0" fontId="47" fillId="7" borderId="0" xfId="4" applyFill="1"/>
    <xf numFmtId="0" fontId="43" fillId="7" borderId="0" xfId="0" applyFont="1" applyFill="1"/>
    <xf numFmtId="0" fontId="0" fillId="8" borderId="5" xfId="0" applyFill="1" applyBorder="1" applyAlignment="1" applyProtection="1">
      <alignment vertical="top" wrapText="1"/>
    </xf>
    <xf numFmtId="0" fontId="0" fillId="0" borderId="5" xfId="0" applyBorder="1" applyAlignment="1" applyProtection="1">
      <alignment wrapText="1"/>
      <protection locked="0"/>
    </xf>
    <xf numFmtId="164" fontId="3" fillId="9" borderId="116" xfId="1" applyFont="1" applyFill="1" applyBorder="1" applyAlignment="1" applyProtection="1">
      <alignment horizontal="center" vertical="center"/>
      <protection locked="0"/>
    </xf>
    <xf numFmtId="173" fontId="3" fillId="9" borderId="85" xfId="0" applyNumberFormat="1" applyFont="1" applyFill="1" applyBorder="1" applyAlignment="1" applyProtection="1">
      <alignment horizontal="right" vertical="center"/>
      <protection locked="0"/>
    </xf>
    <xf numFmtId="190" fontId="3" fillId="9" borderId="18" xfId="0" applyNumberFormat="1" applyFont="1" applyFill="1" applyBorder="1" applyAlignment="1" applyProtection="1">
      <alignment horizontal="right" vertical="center"/>
      <protection locked="0"/>
    </xf>
    <xf numFmtId="190" fontId="3" fillId="9" borderId="19" xfId="0" applyNumberFormat="1" applyFont="1" applyFill="1" applyBorder="1" applyAlignment="1" applyProtection="1">
      <alignment horizontal="right" vertical="center"/>
      <protection locked="0"/>
    </xf>
    <xf numFmtId="190" fontId="3" fillId="9" borderId="5" xfId="0" applyNumberFormat="1" applyFont="1" applyFill="1" applyBorder="1" applyAlignment="1" applyProtection="1">
      <alignment horizontal="right" vertical="center"/>
      <protection locked="0"/>
    </xf>
    <xf numFmtId="190" fontId="3" fillId="9" borderId="4" xfId="0" applyNumberFormat="1" applyFont="1" applyFill="1" applyBorder="1" applyAlignment="1" applyProtection="1">
      <alignment horizontal="right" vertical="center"/>
      <protection locked="0"/>
    </xf>
    <xf numFmtId="173" fontId="21" fillId="0" borderId="5" xfId="0" applyNumberFormat="1" applyFont="1" applyFill="1" applyBorder="1" applyAlignment="1" applyProtection="1">
      <alignment horizontal="right"/>
    </xf>
    <xf numFmtId="0" fontId="42" fillId="8" borderId="18" xfId="0" applyFont="1" applyFill="1" applyBorder="1" applyAlignment="1" applyProtection="1">
      <alignment horizontal="right" vertical="top"/>
    </xf>
    <xf numFmtId="0" fontId="41" fillId="8" borderId="108" xfId="0" applyFont="1" applyFill="1" applyBorder="1" applyAlignment="1" applyProtection="1">
      <alignment horizontal="right" vertical="top" wrapText="1"/>
    </xf>
    <xf numFmtId="0" fontId="42" fillId="8" borderId="19" xfId="0" applyFont="1" applyFill="1" applyBorder="1" applyAlignment="1" applyProtection="1">
      <alignment horizontal="right" vertical="top"/>
    </xf>
    <xf numFmtId="173" fontId="21" fillId="0" borderId="105" xfId="0" applyNumberFormat="1" applyFont="1" applyFill="1" applyBorder="1" applyAlignment="1" applyProtection="1">
      <alignment horizontal="right"/>
    </xf>
    <xf numFmtId="173" fontId="21" fillId="0" borderId="106" xfId="0" applyNumberFormat="1" applyFont="1" applyFill="1" applyBorder="1" applyAlignment="1" applyProtection="1">
      <alignment horizontal="right"/>
    </xf>
    <xf numFmtId="173" fontId="21" fillId="0" borderId="101" xfId="0" applyNumberFormat="1" applyFont="1" applyFill="1" applyBorder="1" applyAlignment="1" applyProtection="1">
      <alignment horizontal="right"/>
    </xf>
    <xf numFmtId="173" fontId="21" fillId="0" borderId="103" xfId="0" applyNumberFormat="1" applyFont="1" applyFill="1" applyBorder="1" applyAlignment="1" applyProtection="1">
      <alignment horizontal="right"/>
    </xf>
    <xf numFmtId="0" fontId="0" fillId="9" borderId="63" xfId="0" applyFill="1" applyBorder="1" applyAlignment="1" applyProtection="1">
      <alignment horizontal="right" vertical="center" wrapText="1"/>
    </xf>
    <xf numFmtId="49" fontId="3" fillId="9" borderId="20" xfId="0" applyNumberFormat="1" applyFont="1" applyFill="1" applyBorder="1" applyAlignment="1" applyProtection="1">
      <alignment horizontal="center" vertical="center" wrapText="1"/>
      <protection locked="0"/>
    </xf>
    <xf numFmtId="0" fontId="57" fillId="0" borderId="0" xfId="0" applyFont="1" applyFill="1" applyBorder="1" applyAlignment="1" applyProtection="1">
      <alignment horizontal="center" vertical="center" wrapText="1"/>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left" vertical="center"/>
    </xf>
    <xf numFmtId="0" fontId="30" fillId="0" borderId="0" xfId="0" applyFont="1" applyFill="1" applyBorder="1" applyAlignment="1" applyProtection="1"/>
    <xf numFmtId="173" fontId="54" fillId="0" borderId="0" xfId="3" applyNumberFormat="1" applyFont="1" applyFill="1" applyBorder="1" applyAlignment="1" applyProtection="1">
      <alignment horizontal="center"/>
      <protection locked="0"/>
    </xf>
    <xf numFmtId="0" fontId="56" fillId="0" borderId="0" xfId="0" applyFont="1" applyFill="1" applyBorder="1" applyAlignment="1" applyProtection="1">
      <alignment horizontal="right" vertical="center"/>
    </xf>
    <xf numFmtId="0" fontId="48" fillId="0" borderId="0" xfId="0" applyFont="1" applyFill="1" applyBorder="1" applyAlignment="1" applyProtection="1">
      <alignment horizontal="center"/>
    </xf>
    <xf numFmtId="0" fontId="30" fillId="0" borderId="0" xfId="0" applyFont="1" applyFill="1" applyBorder="1" applyAlignment="1" applyProtection="1">
      <alignment horizontal="center"/>
    </xf>
    <xf numFmtId="169" fontId="53" fillId="0" borderId="0" xfId="3" applyNumberFormat="1" applyFont="1" applyFill="1" applyBorder="1" applyAlignment="1" applyProtection="1">
      <alignment horizontal="center"/>
      <protection locked="0"/>
    </xf>
    <xf numFmtId="173" fontId="61" fillId="0" borderId="0" xfId="0" applyNumberFormat="1" applyFont="1" applyFill="1" applyBorder="1" applyAlignment="1" applyProtection="1">
      <alignment horizontal="left"/>
    </xf>
    <xf numFmtId="0" fontId="39" fillId="0" borderId="0" xfId="0" applyFont="1" applyFill="1" applyBorder="1" applyAlignment="1" applyProtection="1">
      <alignment horizontal="left" vertical="center" wrapText="1"/>
    </xf>
    <xf numFmtId="168" fontId="53" fillId="0" borderId="0" xfId="0" applyNumberFormat="1" applyFont="1" applyFill="1" applyBorder="1" applyAlignment="1" applyProtection="1">
      <alignment horizontal="center"/>
    </xf>
    <xf numFmtId="168" fontId="30" fillId="0" borderId="0" xfId="0" applyNumberFormat="1" applyFont="1" applyFill="1" applyBorder="1" applyAlignment="1" applyProtection="1">
      <alignment horizontal="center"/>
      <protection locked="0"/>
    </xf>
    <xf numFmtId="165" fontId="57" fillId="0" borderId="0" xfId="0" applyNumberFormat="1" applyFont="1" applyFill="1" applyBorder="1" applyAlignment="1" applyProtection="1">
      <alignment horizontal="center" vertical="center" wrapText="1"/>
    </xf>
    <xf numFmtId="170" fontId="30" fillId="0" borderId="0" xfId="0" applyNumberFormat="1" applyFont="1" applyFill="1" applyBorder="1" applyAlignment="1" applyProtection="1">
      <alignment horizontal="center"/>
      <protection locked="0"/>
    </xf>
    <xf numFmtId="0" fontId="39" fillId="0" borderId="0" xfId="0" applyFont="1" applyFill="1" applyBorder="1" applyAlignment="1" applyProtection="1">
      <alignment horizontal="center" vertical="center"/>
    </xf>
    <xf numFmtId="174" fontId="30" fillId="0" borderId="0" xfId="0" applyNumberFormat="1" applyFont="1" applyFill="1" applyBorder="1" applyAlignment="1" applyProtection="1">
      <alignment horizontal="center"/>
    </xf>
    <xf numFmtId="171" fontId="53" fillId="0" borderId="0" xfId="0" applyNumberFormat="1" applyFont="1" applyFill="1" applyBorder="1" applyAlignment="1" applyProtection="1">
      <alignment horizontal="center"/>
      <protection locked="0"/>
    </xf>
    <xf numFmtId="165" fontId="56" fillId="0" borderId="0" xfId="0" applyNumberFormat="1" applyFont="1" applyFill="1" applyBorder="1" applyAlignment="1" applyProtection="1">
      <alignment horizontal="center" vertical="center" wrapText="1"/>
      <protection locked="0"/>
    </xf>
    <xf numFmtId="0" fontId="11" fillId="10" borderId="7" xfId="0" applyNumberFormat="1" applyFont="1" applyFill="1" applyBorder="1" applyAlignment="1" applyProtection="1">
      <alignment horizontal="left" vertical="center" wrapText="1"/>
    </xf>
    <xf numFmtId="0" fontId="11" fillId="10" borderId="11" xfId="0" applyNumberFormat="1" applyFont="1" applyFill="1" applyBorder="1" applyAlignment="1" applyProtection="1">
      <alignment horizontal="left" vertical="center" wrapText="1"/>
    </xf>
    <xf numFmtId="165" fontId="10" fillId="9" borderId="5" xfId="0" applyNumberFormat="1" applyFont="1" applyFill="1" applyBorder="1" applyAlignment="1" applyProtection="1">
      <alignment horizontal="center" vertical="center"/>
      <protection locked="0"/>
    </xf>
    <xf numFmtId="165" fontId="10" fillId="9" borderId="4" xfId="0" applyNumberFormat="1" applyFont="1" applyFill="1" applyBorder="1" applyAlignment="1" applyProtection="1">
      <alignment horizontal="center" vertical="center"/>
      <protection locked="0"/>
    </xf>
    <xf numFmtId="0" fontId="59" fillId="0" borderId="0" xfId="0" applyNumberFormat="1" applyFont="1" applyFill="1" applyBorder="1" applyAlignment="1" applyProtection="1">
      <alignment horizontal="center" vertical="center"/>
      <protection locked="0"/>
    </xf>
    <xf numFmtId="0" fontId="21" fillId="9" borderId="84" xfId="0" applyFont="1" applyFill="1" applyBorder="1" applyAlignment="1" applyProtection="1">
      <alignment horizontal="left" vertical="center"/>
      <protection locked="0"/>
    </xf>
    <xf numFmtId="0" fontId="43" fillId="0" borderId="85" xfId="0" applyFont="1" applyBorder="1" applyAlignment="1" applyProtection="1">
      <alignment vertical="center"/>
      <protection locked="0"/>
    </xf>
    <xf numFmtId="0" fontId="37" fillId="7" borderId="0" xfId="0" applyFont="1" applyFill="1" applyBorder="1" applyAlignment="1" applyProtection="1">
      <alignment horizontal="left" vertical="center"/>
    </xf>
    <xf numFmtId="0" fontId="0" fillId="7" borderId="0" xfId="0" applyFill="1" applyBorder="1" applyAlignment="1" applyProtection="1">
      <alignment vertical="center"/>
    </xf>
    <xf numFmtId="0" fontId="2" fillId="10" borderId="16" xfId="0" applyFont="1" applyFill="1" applyBorder="1" applyAlignment="1" applyProtection="1">
      <alignment horizontal="left" vertical="center" wrapText="1"/>
    </xf>
    <xf numFmtId="0" fontId="0" fillId="10" borderId="0" xfId="0" applyFill="1" applyBorder="1" applyAlignment="1" applyProtection="1"/>
    <xf numFmtId="0" fontId="0" fillId="10" borderId="16" xfId="0" applyFill="1" applyBorder="1" applyAlignment="1" applyProtection="1">
      <alignment horizontal="left" vertical="center" wrapText="1"/>
    </xf>
    <xf numFmtId="0" fontId="2" fillId="10" borderId="27" xfId="0" applyFont="1" applyFill="1" applyBorder="1" applyAlignment="1" applyProtection="1">
      <alignment horizontal="left" vertical="center" wrapText="1"/>
    </xf>
    <xf numFmtId="0" fontId="0" fillId="10" borderId="28" xfId="0" applyFill="1" applyBorder="1" applyAlignment="1" applyProtection="1"/>
    <xf numFmtId="0" fontId="2" fillId="8" borderId="17" xfId="0" applyFont="1" applyFill="1" applyBorder="1" applyAlignment="1" applyProtection="1">
      <alignment horizontal="left" vertical="center" wrapText="1"/>
    </xf>
    <xf numFmtId="0" fontId="0" fillId="8" borderId="8" xfId="0" applyFill="1" applyBorder="1" applyAlignment="1" applyProtection="1">
      <alignment horizontal="left"/>
    </xf>
    <xf numFmtId="0" fontId="0" fillId="8" borderId="10" xfId="0" applyFill="1" applyBorder="1" applyAlignment="1" applyProtection="1">
      <alignment horizontal="left"/>
    </xf>
    <xf numFmtId="0" fontId="2" fillId="10" borderId="30" xfId="0" applyFont="1" applyFill="1" applyBorder="1" applyAlignment="1" applyProtection="1">
      <alignment horizontal="left" vertical="center" wrapText="1"/>
    </xf>
    <xf numFmtId="0" fontId="0" fillId="10" borderId="29" xfId="0" applyFill="1" applyBorder="1" applyAlignment="1" applyProtection="1"/>
    <xf numFmtId="0" fontId="0" fillId="0" borderId="32" xfId="0" applyFont="1" applyBorder="1" applyAlignment="1" applyProtection="1">
      <alignment horizontal="center" vertical="center"/>
    </xf>
    <xf numFmtId="0" fontId="0" fillId="0" borderId="58" xfId="0" applyFont="1" applyBorder="1" applyAlignment="1" applyProtection="1">
      <alignment horizontal="center" vertical="center"/>
    </xf>
    <xf numFmtId="182" fontId="17" fillId="0" borderId="49" xfId="0" applyNumberFormat="1" applyFont="1" applyBorder="1" applyAlignment="1" applyProtection="1">
      <alignment horizontal="center" vertical="center"/>
    </xf>
    <xf numFmtId="0" fontId="0" fillId="0" borderId="50" xfId="0" applyBorder="1" applyAlignment="1" applyProtection="1"/>
    <xf numFmtId="0" fontId="18" fillId="4" borderId="69" xfId="0" applyFont="1" applyFill="1" applyBorder="1" applyAlignment="1" applyProtection="1">
      <alignment horizontal="center" vertical="center" wrapText="1"/>
    </xf>
    <xf numFmtId="0" fontId="0" fillId="0" borderId="48" xfId="0" applyBorder="1" applyAlignment="1" applyProtection="1"/>
    <xf numFmtId="0" fontId="18" fillId="4" borderId="61" xfId="0" applyFont="1" applyFill="1" applyBorder="1" applyAlignment="1" applyProtection="1">
      <alignment horizontal="center" vertical="center" wrapText="1"/>
    </xf>
    <xf numFmtId="0" fontId="0" fillId="0" borderId="40" xfId="0" applyBorder="1" applyAlignment="1" applyProtection="1"/>
    <xf numFmtId="0" fontId="0" fillId="0" borderId="41" xfId="0" applyBorder="1" applyAlignment="1" applyProtection="1"/>
    <xf numFmtId="0" fontId="24" fillId="0" borderId="0"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12" fillId="3" borderId="72" xfId="0" applyFont="1" applyFill="1" applyBorder="1" applyAlignment="1" applyProtection="1">
      <alignment horizontal="center" vertical="center" wrapText="1"/>
    </xf>
    <xf numFmtId="0" fontId="0" fillId="0" borderId="73" xfId="0" applyBorder="1" applyAlignment="1" applyProtection="1"/>
    <xf numFmtId="0" fontId="0" fillId="0" borderId="74" xfId="0" applyBorder="1" applyAlignment="1" applyProtection="1"/>
    <xf numFmtId="0" fontId="36" fillId="8" borderId="17" xfId="0" applyFont="1" applyFill="1" applyBorder="1" applyAlignment="1" applyProtection="1">
      <alignment horizontal="left" vertical="center" wrapText="1"/>
    </xf>
    <xf numFmtId="0" fontId="0" fillId="8" borderId="8" xfId="0" applyFont="1" applyFill="1" applyBorder="1" applyAlignment="1" applyProtection="1">
      <alignment horizontal="left" vertical="center" wrapText="1"/>
    </xf>
    <xf numFmtId="173" fontId="10" fillId="0" borderId="44" xfId="0" applyNumberFormat="1" applyFont="1" applyBorder="1" applyAlignment="1" applyProtection="1">
      <alignment horizontal="center" vertical="center"/>
    </xf>
    <xf numFmtId="173" fontId="10" fillId="0" borderId="45" xfId="0" applyNumberFormat="1" applyFont="1" applyBorder="1" applyAlignment="1" applyProtection="1">
      <alignment horizontal="center" vertical="center"/>
    </xf>
    <xf numFmtId="0" fontId="3" fillId="10" borderId="16" xfId="0" applyFont="1" applyFill="1" applyBorder="1" applyAlignment="1" applyProtection="1">
      <alignment horizontal="left" vertical="center" wrapText="1"/>
    </xf>
    <xf numFmtId="0" fontId="0" fillId="10" borderId="16" xfId="0" applyFont="1" applyFill="1" applyBorder="1" applyAlignment="1" applyProtection="1">
      <alignment horizontal="left" vertical="center" wrapText="1"/>
    </xf>
    <xf numFmtId="0" fontId="0" fillId="0" borderId="35" xfId="0" applyBorder="1" applyAlignment="1" applyProtection="1">
      <alignment horizontal="left" vertical="center" wrapText="1"/>
    </xf>
    <xf numFmtId="0" fontId="3" fillId="10" borderId="16" xfId="0" applyFont="1" applyFill="1" applyBorder="1" applyAlignment="1" applyProtection="1">
      <alignment horizontal="right" vertical="center"/>
    </xf>
    <xf numFmtId="0" fontId="0" fillId="10" borderId="0" xfId="0" applyFill="1" applyBorder="1" applyAlignment="1" applyProtection="1">
      <alignment horizontal="right"/>
    </xf>
    <xf numFmtId="170" fontId="10" fillId="5" borderId="109" xfId="0" applyNumberFormat="1" applyFont="1" applyFill="1" applyBorder="1" applyAlignment="1" applyProtection="1">
      <alignment horizontal="center" vertical="center"/>
    </xf>
    <xf numFmtId="0" fontId="0" fillId="5" borderId="110" xfId="0" applyFill="1" applyBorder="1" applyAlignment="1" applyProtection="1">
      <alignment horizontal="center" vertical="center"/>
    </xf>
    <xf numFmtId="182" fontId="17" fillId="0" borderId="77" xfId="0" applyNumberFormat="1" applyFont="1" applyBorder="1" applyAlignment="1" applyProtection="1">
      <alignment horizontal="center" vertical="center"/>
    </xf>
    <xf numFmtId="0" fontId="0" fillId="0" borderId="78" xfId="0" applyBorder="1" applyAlignment="1" applyProtection="1">
      <alignment horizontal="center" vertical="center"/>
    </xf>
    <xf numFmtId="182" fontId="17" fillId="0" borderId="79" xfId="0" applyNumberFormat="1" applyFont="1" applyBorder="1" applyAlignment="1" applyProtection="1">
      <alignment horizontal="center" vertical="center"/>
    </xf>
    <xf numFmtId="0" fontId="0" fillId="0" borderId="80" xfId="0" applyBorder="1" applyAlignment="1" applyProtection="1">
      <alignment horizontal="center" vertical="center"/>
    </xf>
    <xf numFmtId="0" fontId="3" fillId="10" borderId="86" xfId="0" applyFont="1" applyFill="1" applyBorder="1" applyAlignment="1" applyProtection="1">
      <alignment horizontal="left" vertical="center" wrapText="1"/>
    </xf>
    <xf numFmtId="0" fontId="0" fillId="0" borderId="30" xfId="0" applyBorder="1" applyAlignment="1" applyProtection="1">
      <alignment horizontal="left" vertical="center" wrapText="1"/>
    </xf>
    <xf numFmtId="182" fontId="20" fillId="0" borderId="81" xfId="0" applyNumberFormat="1" applyFont="1" applyBorder="1" applyAlignment="1" applyProtection="1">
      <alignment horizontal="center" vertical="center"/>
    </xf>
    <xf numFmtId="0" fontId="0" fillId="0" borderId="82" xfId="0" applyBorder="1" applyAlignment="1" applyProtection="1"/>
    <xf numFmtId="0" fontId="18" fillId="4" borderId="83" xfId="0" applyFont="1" applyFill="1" applyBorder="1" applyAlignment="1" applyProtection="1">
      <alignment horizontal="center" vertical="center" wrapText="1"/>
    </xf>
    <xf numFmtId="173" fontId="10" fillId="0" borderId="61" xfId="0" applyNumberFormat="1" applyFont="1" applyBorder="1" applyAlignment="1" applyProtection="1">
      <alignment horizontal="center" vertical="center"/>
    </xf>
    <xf numFmtId="0" fontId="0" fillId="0" borderId="41" xfId="0" applyBorder="1" applyAlignment="1" applyProtection="1">
      <alignment horizontal="center" vertical="center"/>
    </xf>
    <xf numFmtId="182" fontId="20" fillId="0" borderId="75" xfId="0" applyNumberFormat="1" applyFont="1" applyBorder="1" applyAlignment="1" applyProtection="1">
      <alignment horizontal="center" vertical="center"/>
    </xf>
    <xf numFmtId="0" fontId="0" fillId="0" borderId="76" xfId="0" applyBorder="1" applyAlignment="1" applyProtection="1"/>
    <xf numFmtId="0" fontId="0" fillId="8" borderId="9" xfId="0" applyFill="1" applyBorder="1" applyAlignment="1" applyProtection="1">
      <alignment horizontal="left"/>
    </xf>
    <xf numFmtId="0" fontId="0" fillId="10" borderId="34" xfId="0" applyFill="1" applyBorder="1" applyAlignment="1" applyProtection="1"/>
    <xf numFmtId="0" fontId="36" fillId="10" borderId="30" xfId="0" applyFont="1" applyFill="1" applyBorder="1" applyAlignment="1" applyProtection="1">
      <alignment horizontal="left" vertical="center" wrapText="1"/>
    </xf>
    <xf numFmtId="0" fontId="0" fillId="10" borderId="29" xfId="0" applyFont="1" applyFill="1" applyBorder="1" applyAlignment="1" applyProtection="1">
      <alignment horizontal="left"/>
    </xf>
    <xf numFmtId="182" fontId="17" fillId="0" borderId="70" xfId="0" applyNumberFormat="1" applyFont="1" applyBorder="1" applyAlignment="1" applyProtection="1">
      <alignment horizontal="center" vertical="center"/>
    </xf>
    <xf numFmtId="0" fontId="0" fillId="0" borderId="71" xfId="0" applyBorder="1" applyAlignment="1" applyProtection="1"/>
    <xf numFmtId="0" fontId="3" fillId="7" borderId="5" xfId="0" applyFont="1" applyFill="1" applyBorder="1" applyAlignment="1" applyProtection="1"/>
    <xf numFmtId="0" fontId="0" fillId="7" borderId="5" xfId="0" applyFill="1" applyBorder="1" applyAlignment="1" applyProtection="1"/>
    <xf numFmtId="174" fontId="15"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174" fontId="4" fillId="0" borderId="0" xfId="0" applyNumberFormat="1" applyFont="1" applyFill="1" applyBorder="1" applyAlignment="1" applyProtection="1">
      <alignment horizontal="center" vertical="center"/>
    </xf>
    <xf numFmtId="49" fontId="21" fillId="0" borderId="0" xfId="0" applyNumberFormat="1" applyFont="1" applyFill="1" applyBorder="1" applyAlignment="1" applyProtection="1">
      <alignment vertical="top" wrapText="1"/>
    </xf>
    <xf numFmtId="0" fontId="9" fillId="0" borderId="0" xfId="0" applyFont="1" applyFill="1" applyBorder="1" applyAlignment="1" applyProtection="1">
      <alignment vertical="top" wrapText="1"/>
    </xf>
    <xf numFmtId="174" fontId="41" fillId="6" borderId="5" xfId="0" applyNumberFormat="1" applyFont="1" applyFill="1" applyBorder="1" applyAlignment="1" applyProtection="1">
      <alignment horizontal="left" vertical="center"/>
    </xf>
    <xf numFmtId="0" fontId="42" fillId="6" borderId="5" xfId="0" applyFont="1" applyFill="1" applyBorder="1" applyAlignment="1" applyProtection="1">
      <alignment horizontal="left" vertical="center"/>
    </xf>
    <xf numFmtId="0" fontId="31" fillId="0" borderId="0" xfId="0" applyFont="1" applyFill="1" applyBorder="1" applyAlignment="1" applyProtection="1">
      <alignment horizontal="center" vertical="center" wrapText="1"/>
    </xf>
    <xf numFmtId="0" fontId="0" fillId="0" borderId="0" xfId="0" applyFill="1" applyBorder="1" applyAlignment="1" applyProtection="1"/>
    <xf numFmtId="0" fontId="41" fillId="6" borderId="5" xfId="0" applyFont="1" applyFill="1" applyBorder="1" applyAlignment="1" applyProtection="1">
      <alignment horizontal="left" vertical="center" wrapText="1"/>
    </xf>
    <xf numFmtId="0" fontId="42" fillId="6" borderId="5" xfId="0" applyFont="1" applyFill="1" applyBorder="1" applyAlignment="1" applyProtection="1">
      <alignment horizontal="left" vertical="center" wrapText="1"/>
    </xf>
    <xf numFmtId="0" fontId="2" fillId="7" borderId="5" xfId="0" applyFont="1" applyFill="1" applyBorder="1" applyAlignment="1" applyProtection="1">
      <alignment horizontal="left" vertical="center" wrapText="1"/>
    </xf>
    <xf numFmtId="0" fontId="0" fillId="7" borderId="5" xfId="0" applyFill="1" applyBorder="1" applyAlignment="1" applyProtection="1">
      <alignment horizontal="left" vertical="center" wrapText="1"/>
    </xf>
    <xf numFmtId="0" fontId="3" fillId="7" borderId="36" xfId="0" applyFont="1" applyFill="1" applyBorder="1" applyAlignment="1" applyProtection="1"/>
    <xf numFmtId="0" fontId="3" fillId="7" borderId="87" xfId="0" applyFont="1" applyFill="1" applyBorder="1" applyAlignment="1" applyProtection="1"/>
    <xf numFmtId="0" fontId="0" fillId="7" borderId="11" xfId="0" applyFill="1" applyBorder="1" applyAlignment="1" applyProtection="1"/>
    <xf numFmtId="0" fontId="2" fillId="7" borderId="24" xfId="0" applyFont="1" applyFill="1" applyBorder="1" applyAlignment="1" applyProtection="1">
      <alignment horizontal="left" vertical="center" wrapText="1"/>
    </xf>
    <xf numFmtId="0" fontId="2" fillId="7" borderId="6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3" fillId="7" borderId="62" xfId="0" applyFont="1" applyFill="1" applyBorder="1" applyAlignment="1" applyProtection="1"/>
    <xf numFmtId="0" fontId="3" fillId="7" borderId="118" xfId="0" applyFont="1" applyFill="1" applyBorder="1" applyAlignment="1" applyProtection="1"/>
    <xf numFmtId="0" fontId="0" fillId="7" borderId="12" xfId="0" applyFill="1" applyBorder="1" applyAlignment="1" applyProtection="1"/>
    <xf numFmtId="0" fontId="2" fillId="7" borderId="0" xfId="0" applyFont="1" applyFill="1" applyBorder="1" applyAlignment="1" applyProtection="1">
      <alignment horizontal="left" vertical="center" wrapText="1"/>
    </xf>
    <xf numFmtId="0" fontId="3" fillId="7" borderId="31" xfId="0" applyFont="1" applyFill="1" applyBorder="1" applyAlignment="1" applyProtection="1"/>
    <xf numFmtId="0" fontId="0" fillId="7" borderId="31" xfId="0" applyFill="1" applyBorder="1" applyAlignment="1" applyProtection="1"/>
    <xf numFmtId="0" fontId="56" fillId="0" borderId="0" xfId="0" applyFont="1" applyFill="1" applyBorder="1" applyAlignment="1" applyProtection="1">
      <alignment horizontal="left" vertical="center"/>
    </xf>
    <xf numFmtId="0" fontId="57" fillId="0" borderId="0" xfId="0" applyFont="1" applyFill="1" applyBorder="1" applyAlignment="1" applyProtection="1">
      <alignment horizontal="center" vertical="center" wrapText="1"/>
    </xf>
    <xf numFmtId="164" fontId="62" fillId="0" borderId="0" xfId="1"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left" vertical="center"/>
    </xf>
    <xf numFmtId="0" fontId="30" fillId="0" borderId="0" xfId="0" applyFont="1" applyFill="1" applyBorder="1" applyAlignment="1" applyProtection="1"/>
    <xf numFmtId="0" fontId="51" fillId="0" borderId="0" xfId="0" applyFont="1" applyFill="1" applyBorder="1" applyAlignment="1" applyProtection="1">
      <alignment vertical="center"/>
    </xf>
    <xf numFmtId="0" fontId="56" fillId="0" borderId="0" xfId="0" applyFont="1" applyFill="1" applyBorder="1" applyAlignment="1" applyProtection="1">
      <alignment horizontal="right" vertical="center" wrapText="1"/>
    </xf>
    <xf numFmtId="173" fontId="54" fillId="0" borderId="0" xfId="3" applyNumberFormat="1" applyFont="1" applyFill="1" applyBorder="1" applyAlignment="1" applyProtection="1">
      <alignment horizontal="center"/>
      <protection locked="0"/>
    </xf>
    <xf numFmtId="0" fontId="56" fillId="0" borderId="0" xfId="0" applyFont="1" applyFill="1" applyBorder="1" applyAlignment="1" applyProtection="1">
      <alignment horizontal="right" vertical="center"/>
    </xf>
    <xf numFmtId="0" fontId="56" fillId="0" borderId="0" xfId="0" applyFont="1" applyFill="1" applyBorder="1" applyAlignment="1" applyProtection="1">
      <alignment vertical="center"/>
    </xf>
    <xf numFmtId="0" fontId="56" fillId="0" borderId="0" xfId="0" applyFont="1" applyFill="1" applyBorder="1" applyAlignment="1" applyProtection="1">
      <alignment horizontal="left" vertical="center" wrapText="1"/>
    </xf>
    <xf numFmtId="0" fontId="48" fillId="0" borderId="0" xfId="0" applyFont="1" applyFill="1" applyBorder="1" applyAlignment="1" applyProtection="1">
      <alignment horizontal="center"/>
    </xf>
    <xf numFmtId="0" fontId="30" fillId="0" borderId="0" xfId="0" applyFont="1" applyFill="1" applyBorder="1" applyAlignment="1" applyProtection="1">
      <alignment horizontal="center"/>
    </xf>
    <xf numFmtId="169" fontId="53" fillId="0" borderId="0" xfId="3" applyNumberFormat="1" applyFont="1" applyFill="1" applyBorder="1" applyAlignment="1" applyProtection="1">
      <alignment horizontal="center"/>
      <protection locked="0"/>
    </xf>
    <xf numFmtId="173" fontId="61" fillId="0" borderId="0" xfId="0" applyNumberFormat="1" applyFont="1" applyFill="1" applyBorder="1" applyAlignment="1" applyProtection="1">
      <alignment horizontal="left"/>
    </xf>
    <xf numFmtId="10" fontId="61" fillId="0" borderId="0" xfId="2" applyNumberFormat="1" applyFont="1" applyFill="1" applyBorder="1" applyAlignment="1" applyProtection="1">
      <alignment horizontal="left"/>
    </xf>
    <xf numFmtId="10" fontId="54" fillId="0" borderId="0" xfId="2" applyNumberFormat="1" applyFont="1" applyFill="1" applyBorder="1" applyAlignment="1" applyProtection="1">
      <alignment horizontal="left"/>
    </xf>
    <xf numFmtId="0" fontId="39" fillId="0" borderId="0" xfId="0" applyFont="1" applyFill="1" applyBorder="1" applyAlignment="1" applyProtection="1">
      <alignment horizontal="left" vertical="center" wrapText="1"/>
    </xf>
    <xf numFmtId="0" fontId="30" fillId="0" borderId="0" xfId="0" applyFont="1" applyFill="1" applyBorder="1" applyAlignment="1">
      <alignment horizontal="left" vertical="center" wrapText="1"/>
    </xf>
    <xf numFmtId="168" fontId="53" fillId="0" borderId="0" xfId="0" applyNumberFormat="1" applyFont="1" applyFill="1" applyBorder="1" applyAlignment="1" applyProtection="1">
      <alignment horizontal="center"/>
    </xf>
    <xf numFmtId="168" fontId="30" fillId="0" borderId="0" xfId="0" applyNumberFormat="1" applyFont="1" applyFill="1" applyBorder="1" applyAlignment="1" applyProtection="1">
      <alignment horizontal="center"/>
      <protection locked="0"/>
    </xf>
    <xf numFmtId="165" fontId="57" fillId="0" borderId="0" xfId="0" applyNumberFormat="1" applyFont="1" applyFill="1" applyBorder="1" applyAlignment="1" applyProtection="1">
      <alignment horizontal="center" vertical="center" wrapText="1"/>
    </xf>
    <xf numFmtId="170" fontId="30" fillId="0" borderId="0" xfId="0" applyNumberFormat="1" applyFont="1" applyFill="1" applyBorder="1" applyAlignment="1" applyProtection="1">
      <alignment horizontal="center"/>
      <protection locked="0"/>
    </xf>
    <xf numFmtId="49" fontId="39" fillId="0" borderId="0" xfId="0" applyNumberFormat="1" applyFont="1" applyFill="1" applyBorder="1" applyAlignment="1" applyProtection="1">
      <alignment horizontal="center" vertical="center"/>
    </xf>
    <xf numFmtId="0" fontId="56" fillId="0" borderId="0" xfId="0" applyFont="1" applyFill="1" applyBorder="1" applyAlignment="1" applyProtection="1">
      <alignment horizontal="center" vertical="center" wrapText="1"/>
    </xf>
    <xf numFmtId="0" fontId="55"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60" fillId="0" borderId="0" xfId="0" applyFont="1" applyFill="1" applyBorder="1" applyAlignment="1" applyProtection="1">
      <alignment vertical="center" wrapText="1"/>
    </xf>
    <xf numFmtId="174" fontId="30" fillId="0" borderId="0" xfId="0" applyNumberFormat="1" applyFont="1" applyFill="1" applyBorder="1" applyAlignment="1" applyProtection="1">
      <alignment horizontal="center"/>
    </xf>
    <xf numFmtId="171" fontId="53" fillId="0" borderId="0" xfId="0" applyNumberFormat="1" applyFont="1" applyFill="1" applyBorder="1" applyAlignment="1" applyProtection="1">
      <alignment horizontal="center"/>
      <protection locked="0"/>
    </xf>
    <xf numFmtId="165" fontId="56" fillId="0" borderId="0" xfId="0" applyNumberFormat="1" applyFont="1" applyFill="1" applyBorder="1" applyAlignment="1" applyProtection="1">
      <alignment horizontal="center" vertical="center" wrapText="1"/>
      <protection locked="0"/>
    </xf>
    <xf numFmtId="0" fontId="56" fillId="0" borderId="0" xfId="0" applyFont="1" applyFill="1" applyBorder="1" applyAlignment="1" applyProtection="1">
      <alignment wrapText="1"/>
    </xf>
    <xf numFmtId="0" fontId="68" fillId="7" borderId="0" xfId="0" applyFont="1" applyFill="1" applyBorder="1" applyAlignment="1">
      <alignment vertical="top" wrapText="1"/>
    </xf>
    <xf numFmtId="0" fontId="0" fillId="7" borderId="0" xfId="0" applyFont="1" applyFill="1" applyBorder="1" applyAlignment="1">
      <alignment vertical="top" wrapText="1"/>
    </xf>
    <xf numFmtId="0" fontId="0" fillId="0" borderId="11" xfId="0" applyBorder="1" applyProtection="1">
      <protection locked="0"/>
    </xf>
    <xf numFmtId="0" fontId="0" fillId="0" borderId="7" xfId="0" applyBorder="1" applyProtection="1">
      <protection locked="0"/>
    </xf>
    <xf numFmtId="0" fontId="0" fillId="11" borderId="0" xfId="0" applyFill="1" applyProtection="1">
      <protection locked="0"/>
    </xf>
    <xf numFmtId="0" fontId="28" fillId="0" borderId="7" xfId="0" applyFont="1" applyBorder="1" applyProtection="1">
      <protection locked="0"/>
    </xf>
    <xf numFmtId="0" fontId="6" fillId="0" borderId="0" xfId="0" applyFont="1" applyProtection="1">
      <protection locked="0"/>
    </xf>
    <xf numFmtId="0" fontId="0" fillId="0" borderId="0" xfId="0" applyProtection="1">
      <protection locked="0"/>
    </xf>
    <xf numFmtId="0" fontId="0" fillId="0" borderId="7" xfId="0" applyBorder="1" applyAlignment="1" applyProtection="1">
      <alignment wrapText="1"/>
      <protection locked="0"/>
    </xf>
    <xf numFmtId="0" fontId="0" fillId="0" borderId="5" xfId="0" applyBorder="1" applyAlignment="1" applyProtection="1">
      <alignment vertical="center" wrapText="1"/>
      <protection locked="0"/>
    </xf>
    <xf numFmtId="0" fontId="0" fillId="0" borderId="0" xfId="0" applyAlignment="1" applyProtection="1">
      <alignment vertical="center" wrapText="1"/>
    </xf>
    <xf numFmtId="0" fontId="0" fillId="0" borderId="18" xfId="0" applyFill="1" applyBorder="1" applyAlignment="1" applyProtection="1">
      <alignment vertical="center" wrapText="1"/>
      <protection locked="0"/>
    </xf>
    <xf numFmtId="0" fontId="0" fillId="0" borderId="5" xfId="0" applyFill="1" applyBorder="1" applyAlignment="1" applyProtection="1">
      <alignment vertical="center" wrapText="1"/>
      <protection locked="0"/>
    </xf>
    <xf numFmtId="0" fontId="0" fillId="11" borderId="0" xfId="0" applyFill="1" applyAlignment="1" applyProtection="1">
      <alignment vertical="center" wrapText="1"/>
      <protection locked="0"/>
    </xf>
    <xf numFmtId="0" fontId="28" fillId="0" borderId="7" xfId="0" applyFont="1" applyBorder="1" applyAlignment="1" applyProtection="1">
      <alignment vertical="center" wrapText="1"/>
      <protection locked="0"/>
    </xf>
    <xf numFmtId="0" fontId="0" fillId="0" borderId="0" xfId="0" applyAlignment="1" applyProtection="1">
      <alignment vertical="center" wrapText="1"/>
      <protection locked="0"/>
    </xf>
  </cellXfs>
  <cellStyles count="6">
    <cellStyle name="Hipervínculo" xfId="4" builtinId="8"/>
    <cellStyle name="Millares" xfId="1" builtinId="3"/>
    <cellStyle name="Moneda" xfId="3" builtinId="4"/>
    <cellStyle name="Moneda 2" xfId="5" xr:uid="{02764C13-0DEC-4267-8D9B-19CF0F110188}"/>
    <cellStyle name="Normal" xfId="0" builtinId="0"/>
    <cellStyle name="Porcentaje" xfId="2" builtinId="5"/>
  </cellStyles>
  <dxfs count="0"/>
  <tableStyles count="0" defaultTableStyle="TableStyleMedium9" defaultPivotStyle="PivotStyleLight16"/>
  <colors>
    <mruColors>
      <color rgb="FF248E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800" b="1" i="0" u="none" strike="noStrike" baseline="0">
              <a:solidFill>
                <a:srgbClr val="000000"/>
              </a:solidFill>
              <a:latin typeface="Calibri"/>
              <a:ea typeface="Calibri"/>
              <a:cs typeface="Calibri"/>
            </a:defRPr>
          </a:pPr>
          <a:endParaRPr lang="es-ES"/>
        </a:p>
      </c:txPr>
    </c:title>
    <c:autoTitleDeleted val="0"/>
    <c:plotArea>
      <c:layout>
        <c:manualLayout>
          <c:layoutTarget val="inner"/>
          <c:xMode val="edge"/>
          <c:yMode val="edge"/>
          <c:x val="9.6488323702153614E-2"/>
          <c:y val="6.0460963279911559E-2"/>
          <c:w val="0.86752936242230205"/>
          <c:h val="0.72503479751357824"/>
        </c:manualLayout>
      </c:layout>
      <c:barChart>
        <c:barDir val="col"/>
        <c:grouping val="clustered"/>
        <c:varyColors val="0"/>
        <c:ser>
          <c:idx val="0"/>
          <c:order val="0"/>
          <c:tx>
            <c:strRef>
              <c:f>Results!$F$55</c:f>
              <c:strCache>
                <c:ptCount val="1"/>
              </c:strCache>
            </c:strRef>
          </c:tx>
          <c:spPr>
            <a:solidFill>
              <a:srgbClr val="00B050"/>
            </a:solidFill>
          </c:spPr>
          <c:invertIfNegative val="1"/>
          <c:cat>
            <c:strRef>
              <c:f>Results!$B$28:$B$54</c:f>
              <c:strCache>
                <c:ptCount val="27"/>
                <c:pt idx="0">
                  <c:v>Investment</c:v>
                </c:pt>
                <c:pt idx="1">
                  <c:v>End of year  1</c:v>
                </c:pt>
                <c:pt idx="2">
                  <c:v>End of year  2</c:v>
                </c:pt>
                <c:pt idx="3">
                  <c:v>End of year  3</c:v>
                </c:pt>
                <c:pt idx="4">
                  <c:v>End of year  4</c:v>
                </c:pt>
                <c:pt idx="5">
                  <c:v>End of year  5</c:v>
                </c:pt>
                <c:pt idx="6">
                  <c:v>End of year  6</c:v>
                </c:pt>
                <c:pt idx="7">
                  <c:v>End of year  7</c:v>
                </c:pt>
                <c:pt idx="8">
                  <c:v>End of year  8</c:v>
                </c:pt>
                <c:pt idx="9">
                  <c:v>End of year  9</c:v>
                </c:pt>
                <c:pt idx="10">
                  <c:v>End of year  10</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strCache>
            </c:strRef>
          </c:cat>
          <c:val>
            <c:numRef>
              <c:f>Results!Kumul</c:f>
              <c:numCache>
                <c:formatCode>#,##0.00\ "€"</c:formatCode>
                <c:ptCount val="11"/>
                <c:pt idx="0">
                  <c:v>-230000</c:v>
                </c:pt>
                <c:pt idx="1">
                  <c:v>-169460.78431372554</c:v>
                </c:pt>
                <c:pt idx="2">
                  <c:v>-110108.61207227991</c:v>
                </c:pt>
                <c:pt idx="3">
                  <c:v>-51920.207913999911</c:v>
                </c:pt>
                <c:pt idx="4">
                  <c:v>5127.2471431372687</c:v>
                </c:pt>
                <c:pt idx="5">
                  <c:v>61056.124650134472</c:v>
                </c:pt>
                <c:pt idx="6">
                  <c:v>115888.35750013182</c:v>
                </c:pt>
                <c:pt idx="7">
                  <c:v>169645.44852954103</c:v>
                </c:pt>
                <c:pt idx="8">
                  <c:v>222348.47895053041</c:v>
                </c:pt>
                <c:pt idx="9">
                  <c:v>274018.11661816691</c:v>
                </c:pt>
                <c:pt idx="10">
                  <c:v>324674.62413545779</c:v>
                </c:pt>
              </c:numCache>
            </c:numRef>
          </c:val>
          <c:extLst>
            <c:ext xmlns:c14="http://schemas.microsoft.com/office/drawing/2007/8/2/chart" uri="{6F2FDCE9-48DA-4B69-8628-5D25D57E5C99}">
              <c14:invertSolidFillFmt>
                <c14:spPr xmlns:c14="http://schemas.microsoft.com/office/drawing/2007/8/2/chart">
                  <a:solidFill>
                    <a:srgbClr val="FF0000"/>
                  </a:solidFill>
                </c14:spPr>
              </c14:invertSolidFillFmt>
            </c:ext>
            <c:ext xmlns:c16="http://schemas.microsoft.com/office/drawing/2014/chart" uri="{C3380CC4-5D6E-409C-BE32-E72D297353CC}">
              <c16:uniqueId val="{00000000-933D-4843-A864-2BBCAA0C113B}"/>
            </c:ext>
          </c:extLst>
        </c:ser>
        <c:dLbls>
          <c:showLegendKey val="0"/>
          <c:showVal val="0"/>
          <c:showCatName val="0"/>
          <c:showSerName val="0"/>
          <c:showPercent val="0"/>
          <c:showBubbleSize val="0"/>
        </c:dLbls>
        <c:gapWidth val="100"/>
        <c:axId val="447714816"/>
        <c:axId val="447716736"/>
      </c:barChart>
      <c:catAx>
        <c:axId val="447714816"/>
        <c:scaling>
          <c:orientation val="minMax"/>
        </c:scaling>
        <c:delete val="0"/>
        <c:axPos val="b"/>
        <c:numFmt formatCode="General" sourceLinked="0"/>
        <c:majorTickMark val="out"/>
        <c:minorTickMark val="none"/>
        <c:tickLblPos val="low"/>
        <c:txPr>
          <a:bodyPr rot="2760000" vert="horz"/>
          <a:lstStyle/>
          <a:p>
            <a:pPr>
              <a:defRPr sz="1100" b="0" i="0" u="none" strike="noStrike" baseline="0">
                <a:solidFill>
                  <a:srgbClr val="000000"/>
                </a:solidFill>
                <a:latin typeface="Calibri"/>
                <a:ea typeface="Calibri"/>
                <a:cs typeface="Calibri"/>
              </a:defRPr>
            </a:pPr>
            <a:endParaRPr lang="es-ES"/>
          </a:p>
        </c:txPr>
        <c:crossAx val="447716736"/>
        <c:crosses val="autoZero"/>
        <c:auto val="0"/>
        <c:lblAlgn val="ctr"/>
        <c:lblOffset val="100"/>
        <c:tickMarkSkip val="1"/>
        <c:noMultiLvlLbl val="0"/>
      </c:catAx>
      <c:valAx>
        <c:axId val="447716736"/>
        <c:scaling>
          <c:orientation val="minMax"/>
        </c:scaling>
        <c:delete val="0"/>
        <c:axPos val="l"/>
        <c:majorGridlines>
          <c:spPr>
            <a:ln>
              <a:solidFill>
                <a:schemeClr val="bg1">
                  <a:lumMod val="95000"/>
                </a:schemeClr>
              </a:solidFill>
            </a:ln>
          </c:spPr>
        </c:majorGridlines>
        <c:numFmt formatCode="#,##0\ &quot;€&quot;" sourceLinked="0"/>
        <c:majorTickMark val="out"/>
        <c:minorTickMark val="none"/>
        <c:tickLblPos val="nextTo"/>
        <c:txPr>
          <a:bodyPr rot="0" vert="horz"/>
          <a:lstStyle/>
          <a:p>
            <a:pPr>
              <a:defRPr sz="1100" b="0" i="0" u="none" strike="noStrike" baseline="0">
                <a:solidFill>
                  <a:srgbClr val="000000"/>
                </a:solidFill>
                <a:latin typeface="Calibri"/>
                <a:ea typeface="Calibri"/>
                <a:cs typeface="Calibri"/>
              </a:defRPr>
            </a:pPr>
            <a:endParaRPr lang="es-ES"/>
          </a:p>
        </c:txPr>
        <c:crossAx val="4477148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8740157499999996" l="0.70000000000000007" r="0.70000000000000007" t="0.78740157499999996"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89036</xdr:rowOff>
    </xdr:from>
    <xdr:to>
      <xdr:col>1</xdr:col>
      <xdr:colOff>1600200</xdr:colOff>
      <xdr:row>2</xdr:row>
      <xdr:rowOff>150741</xdr:rowOff>
    </xdr:to>
    <xdr:pic>
      <xdr:nvPicPr>
        <xdr:cNvPr id="211972" name="Grafik 2" descr="Logo">
          <a:extLst>
            <a:ext uri="{FF2B5EF4-FFF2-40B4-BE49-F238E27FC236}">
              <a16:creationId xmlns:a16="http://schemas.microsoft.com/office/drawing/2014/main" id="{00000000-0008-0000-0000-0000043C0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207" y="89036"/>
          <a:ext cx="1504950" cy="508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16</xdr:row>
      <xdr:rowOff>107674</xdr:rowOff>
    </xdr:from>
    <xdr:to>
      <xdr:col>2</xdr:col>
      <xdr:colOff>1101</xdr:colOff>
      <xdr:row>18</xdr:row>
      <xdr:rowOff>99394</xdr:rowOff>
    </xdr:to>
    <xdr:grpSp>
      <xdr:nvGrpSpPr>
        <xdr:cNvPr id="2" name="Gruppieren 1">
          <a:extLst>
            <a:ext uri="{FF2B5EF4-FFF2-40B4-BE49-F238E27FC236}">
              <a16:creationId xmlns:a16="http://schemas.microsoft.com/office/drawing/2014/main" id="{00000000-0008-0000-0000-000002000000}"/>
            </a:ext>
          </a:extLst>
        </xdr:cNvPr>
        <xdr:cNvGrpSpPr/>
      </xdr:nvGrpSpPr>
      <xdr:grpSpPr>
        <a:xfrm>
          <a:off x="114300" y="1812649"/>
          <a:ext cx="2610951" cy="487020"/>
          <a:chOff x="6018972" y="1718124"/>
          <a:chExt cx="2239890" cy="485051"/>
        </a:xfrm>
      </xdr:grpSpPr>
      <xdr:pic>
        <xdr:nvPicPr>
          <xdr:cNvPr id="4" name="Grafik 3" descr="Bildergebnis fÃ¼r britische flagg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V="1">
            <a:off x="6018972" y="1734793"/>
            <a:ext cx="390525" cy="39135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Grafik 4" descr="Bildergebnis fÃ¼r deutsche flagg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57122" y="1725269"/>
            <a:ext cx="476250" cy="47790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Grafik 5" descr="Flagge Frankreich">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0989" y="1718124"/>
            <a:ext cx="454781" cy="45564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Grafik 6" descr="Bildergebnis fÃ¼r spanien flagge">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45337" y="1765697"/>
            <a:ext cx="330993" cy="33187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Grafik 7" descr="Bildergebnis fÃ¼r niederlande flagge">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864439" y="1730030"/>
            <a:ext cx="394423" cy="3961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285750</xdr:colOff>
      <xdr:row>6</xdr:row>
      <xdr:rowOff>112058</xdr:rowOff>
    </xdr:from>
    <xdr:to>
      <xdr:col>11</xdr:col>
      <xdr:colOff>1533525</xdr:colOff>
      <xdr:row>25</xdr:row>
      <xdr:rowOff>44822</xdr:rowOff>
    </xdr:to>
    <xdr:graphicFrame macro="">
      <xdr:nvGraphicFramePr>
        <xdr:cNvPr id="212996" name="Diagramm 32">
          <a:extLst>
            <a:ext uri="{FF2B5EF4-FFF2-40B4-BE49-F238E27FC236}">
              <a16:creationId xmlns:a16="http://schemas.microsoft.com/office/drawing/2014/main" id="{00000000-0008-0000-0100-00000440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114300</xdr:colOff>
      <xdr:row>0</xdr:row>
      <xdr:rowOff>85725</xdr:rowOff>
    </xdr:from>
    <xdr:to>
      <xdr:col>5</xdr:col>
      <xdr:colOff>809625</xdr:colOff>
      <xdr:row>3</xdr:row>
      <xdr:rowOff>153521</xdr:rowOff>
    </xdr:to>
    <xdr:pic>
      <xdr:nvPicPr>
        <xdr:cNvPr id="212997" name="Grafik 5" descr="Logo">
          <a:extLst>
            <a:ext uri="{FF2B5EF4-FFF2-40B4-BE49-F238E27FC236}">
              <a16:creationId xmlns:a16="http://schemas.microsoft.com/office/drawing/2014/main" id="{00000000-0008-0000-0100-0000054003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85725"/>
          <a:ext cx="18002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466725</xdr:colOff>
      <xdr:row>2</xdr:row>
      <xdr:rowOff>139077</xdr:rowOff>
    </xdr:to>
    <xdr:pic>
      <xdr:nvPicPr>
        <xdr:cNvPr id="2" name="Picture 21" descr="ÖKOTEC_Logo_farbig_Standard">
          <a:extLst>
            <a:ext uri="{FF2B5EF4-FFF2-40B4-BE49-F238E27FC236}">
              <a16:creationId xmlns:a16="http://schemas.microsoft.com/office/drawing/2014/main" id="{00000000-0008-0000-0300-000002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28725" cy="567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Georg.Ratjen@oekotec.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B050"/>
    <pageSetUpPr fitToPage="1"/>
  </sheetPr>
  <dimension ref="B1:T121"/>
  <sheetViews>
    <sheetView showGridLines="0" showZeros="0" zoomScaleNormal="100" workbookViewId="0">
      <selection activeCell="H18" sqref="H18"/>
    </sheetView>
  </sheetViews>
  <sheetFormatPr baseColWidth="10" defaultColWidth="11.453125" defaultRowHeight="14" x14ac:dyDescent="0.3"/>
  <cols>
    <col min="1" max="1" width="1.7265625" style="1" customWidth="1"/>
    <col min="2" max="2" width="39.1796875" style="62" customWidth="1"/>
    <col min="3" max="3" width="15.453125" style="1" customWidth="1"/>
    <col min="4" max="4" width="32.81640625" style="1" customWidth="1"/>
    <col min="5" max="5" width="31" style="1" customWidth="1"/>
    <col min="6" max="6" width="32.1796875" style="1" customWidth="1"/>
    <col min="7" max="7" width="3.81640625" style="1" customWidth="1"/>
    <col min="8" max="8" width="26" style="1" customWidth="1"/>
    <col min="9" max="9" width="15.81640625" style="1" customWidth="1"/>
    <col min="10" max="10" width="9.81640625" style="1" customWidth="1"/>
    <col min="11" max="11" width="13.7265625" style="1" customWidth="1"/>
    <col min="12" max="12" width="14.26953125" style="1" customWidth="1"/>
    <col min="13" max="20" width="11.453125" style="1" customWidth="1"/>
    <col min="21" max="21" width="2.54296875" style="1" customWidth="1"/>
    <col min="22" max="16384" width="11.453125" style="1"/>
  </cols>
  <sheetData>
    <row r="1" spans="2:13" x14ac:dyDescent="0.3">
      <c r="E1" s="208"/>
    </row>
    <row r="2" spans="2:13" s="41" customFormat="1" ht="21" customHeight="1" x14ac:dyDescent="0.3">
      <c r="B2" s="62"/>
      <c r="C2" s="298" t="str">
        <f>IF($B$15='Translations (internal)'!$E$3,'Translations (internal)'!E4,IF($B$15='Translations (internal)'!$F$3,'Translations (internal)'!F4,IF($B$15='Translations (internal)'!$G$3,'Translations (internal)'!G4,IF($B$15='Translations (internal)'!$H$3,'Translations (internal)'!H4,IF($B$15='Translations (internal)'!$I$3,'Translations (internal)'!I4,'Translations (internal)'!E4)))))</f>
        <v>Investment Calculator</v>
      </c>
      <c r="D2" s="299"/>
    </row>
    <row r="3" spans="2:13" s="41" customFormat="1" ht="14.5" x14ac:dyDescent="0.35">
      <c r="B3" s="62"/>
      <c r="C3" s="301" t="str">
        <f>CONCATENATE(IF($B$15='Translations (internal)'!$E$3,'Translations (internal)'!E65,IF($B$15='Translations (internal)'!$F$3,'Translations (internal)'!F65,IF($B$15='Translations (internal)'!$G$3,'Translations (internal)'!G65,IF($B$15='Translations (internal)'!$H$3,'Translations (internal)'!H65,IF($B$15='Translations (internal)'!$I$3,'Translations (internal)'!I65,'Translations (internal)'!E6)))))," ","Georg Ratjen (g.ratjen@oekotec.de)")</f>
        <v>Questions? Contact Author: Georg Ratjen (g.ratjen@oekotec.de)</v>
      </c>
      <c r="D3" s="299"/>
      <c r="E3" s="54"/>
      <c r="F3" s="300"/>
      <c r="G3" s="300"/>
      <c r="H3" s="300"/>
      <c r="I3" s="300"/>
      <c r="J3" s="300"/>
      <c r="K3" s="300"/>
    </row>
    <row r="4" spans="2:13" ht="23" x14ac:dyDescent="0.5">
      <c r="C4" s="156"/>
      <c r="D4" s="41"/>
      <c r="M4" s="41"/>
    </row>
    <row r="5" spans="2:13" hidden="1" x14ac:dyDescent="0.3">
      <c r="B5" s="117"/>
      <c r="C5" s="41"/>
      <c r="D5" s="41"/>
      <c r="E5" s="41"/>
      <c r="M5" s="41"/>
    </row>
    <row r="6" spans="2:13" hidden="1" x14ac:dyDescent="0.3">
      <c r="B6" s="1"/>
      <c r="C6" s="41"/>
      <c r="D6" s="41"/>
      <c r="E6" s="41"/>
      <c r="M6" s="41"/>
    </row>
    <row r="7" spans="2:13" ht="17.25" hidden="1" customHeight="1" x14ac:dyDescent="0.3">
      <c r="B7" s="1"/>
      <c r="C7" s="41"/>
      <c r="D7" s="41"/>
      <c r="E7" s="41"/>
      <c r="M7" s="41"/>
    </row>
    <row r="8" spans="2:13" ht="18.75" hidden="1" customHeight="1" x14ac:dyDescent="0.5">
      <c r="C8" s="156"/>
      <c r="D8" s="41"/>
      <c r="E8" s="41"/>
      <c r="F8" s="41"/>
      <c r="G8" s="41"/>
      <c r="H8" s="41"/>
      <c r="I8" s="41"/>
      <c r="J8" s="41"/>
      <c r="K8" s="41"/>
      <c r="L8" s="41"/>
      <c r="M8" s="41"/>
    </row>
    <row r="9" spans="2:13" ht="5.25" hidden="1" customHeight="1" thickTop="1" thickBot="1" x14ac:dyDescent="0.4">
      <c r="B9" s="53" t="s">
        <v>67</v>
      </c>
      <c r="C9" s="174"/>
      <c r="D9" s="174"/>
      <c r="E9" s="175"/>
      <c r="F9" s="174"/>
      <c r="G9" s="176"/>
      <c r="H9" s="57"/>
      <c r="I9" s="57"/>
      <c r="J9" s="57"/>
      <c r="K9" s="177"/>
      <c r="L9" s="41"/>
      <c r="M9" s="175"/>
    </row>
    <row r="10" spans="2:13" ht="32.25" hidden="1" customHeight="1" thickBot="1" x14ac:dyDescent="0.4">
      <c r="B10" s="178"/>
      <c r="C10" s="179"/>
      <c r="D10" s="179"/>
      <c r="E10" s="25"/>
      <c r="F10" s="179"/>
      <c r="G10" s="180"/>
      <c r="H10" s="56"/>
      <c r="I10" s="181"/>
      <c r="J10" s="55" t="s">
        <v>66</v>
      </c>
      <c r="K10" s="182"/>
      <c r="L10" s="41"/>
      <c r="M10" s="25"/>
    </row>
    <row r="11" spans="2:13" ht="3.75" hidden="1" customHeight="1" thickBot="1" x14ac:dyDescent="0.4">
      <c r="B11" s="183"/>
      <c r="C11" s="184"/>
      <c r="D11" s="184"/>
      <c r="E11" s="185"/>
      <c r="F11" s="184"/>
      <c r="G11" s="184"/>
      <c r="H11" s="184"/>
      <c r="I11" s="48"/>
      <c r="J11" s="48"/>
      <c r="K11" s="49"/>
      <c r="L11" s="41"/>
      <c r="M11" s="185"/>
    </row>
    <row r="12" spans="2:13" ht="13.5" hidden="1" customHeight="1" thickTop="1" x14ac:dyDescent="0.35">
      <c r="B12" s="63"/>
      <c r="C12" s="16"/>
      <c r="D12" s="16"/>
      <c r="E12" s="16"/>
      <c r="F12" s="16"/>
      <c r="G12" s="16"/>
      <c r="H12" s="41"/>
      <c r="I12" s="41"/>
      <c r="J12" s="41"/>
      <c r="K12" s="41"/>
      <c r="L12" s="41"/>
      <c r="M12" s="16"/>
    </row>
    <row r="13" spans="2:13" ht="19.5" customHeight="1" x14ac:dyDescent="0.35">
      <c r="B13" s="153" t="str">
        <f>IF($B$15='Translations (internal)'!$E$3,'Translations (internal)'!E5,IF($B$15='Translations (internal)'!$F$3,'Translations (internal)'!F5,IF($B$15='Translations (internal)'!$G$3,'Translations (internal)'!G5,IF($B$15='Translations (internal)'!$H$3,'Translations (internal)'!H5,IF($B$15='Translations (internal)'!$I$3,'Translations (internal)'!I5,'Translations (internal)'!E5)))))</f>
        <v>Select Language</v>
      </c>
      <c r="D13" s="64" t="str">
        <f>IF($B$15='Translations (internal)'!$E$3,'Translations (internal)'!E6,IF($B$15='Translations (internal)'!$F$3,'Translations (internal)'!F6,IF($B$15='Translations (internal)'!$G$3,'Translations (internal)'!G6,IF($B$15='Translations (internal)'!$H$3,'Translations (internal)'!H6,IF($B$15='Translations (internal)'!$I$3,'Translations (internal)'!I6,'Translations (internal)'!E6)))))</f>
        <v>Enter Energy tarifs</v>
      </c>
      <c r="E13" s="41"/>
      <c r="F13" s="41"/>
      <c r="G13" s="41"/>
      <c r="H13" s="41"/>
      <c r="I13" s="41"/>
      <c r="J13" s="41"/>
      <c r="K13" s="41"/>
      <c r="L13" s="41"/>
      <c r="M13" s="41"/>
    </row>
    <row r="14" spans="2:13" ht="7.5" customHeight="1" thickBot="1" x14ac:dyDescent="0.35">
      <c r="B14" s="1"/>
      <c r="D14" s="62"/>
      <c r="E14" s="62"/>
      <c r="F14" s="41"/>
      <c r="G14" s="41"/>
      <c r="H14" s="41"/>
      <c r="I14" s="41"/>
      <c r="J14" s="41"/>
      <c r="K14" s="41"/>
      <c r="L14" s="41"/>
      <c r="M14" s="41"/>
    </row>
    <row r="15" spans="2:13" x14ac:dyDescent="0.3">
      <c r="B15" s="379" t="s">
        <v>116</v>
      </c>
      <c r="D15" s="65" t="str">
        <f>IF($B$15='Translations (internal)'!$E$3,'Translations (internal)'!E7,IF($B$15='Translations (internal)'!$F$3,'Translations (internal)'!F7,IF($B$15='Translations (internal)'!$G$3,'Translations (internal)'!G7,IF($B$15='Translations (internal)'!$H$3,'Translations (internal)'!H7,IF($B$15='Translations (internal)'!$I$3,'Translations (internal)'!I7,'Translations (internal)'!E7)))))</f>
        <v>Energy Sources</v>
      </c>
      <c r="E15" s="154" t="str">
        <f>IF($B$15='Translations (internal)'!$E$3,'Translations (internal)'!E8,IF($B$15='Translations (internal)'!$F$3,'Translations (internal)'!F8,IF($B$15='Translations (internal)'!$G$3,'Translations (internal)'!G8,IF($B$15='Translations (internal)'!$H$3,'Translations (internal)'!H8,IF($B$15='Translations (internal)'!$I$3,'Translations (internal)'!I8,'Translations (internal)'!E8)))))</f>
        <v>Energy Price (Ct./kWh)</v>
      </c>
      <c r="F15" s="41"/>
      <c r="G15" s="41"/>
      <c r="H15" s="41"/>
      <c r="I15" s="41"/>
      <c r="J15" s="41"/>
      <c r="K15" s="41"/>
      <c r="L15" s="41"/>
      <c r="M15" s="41"/>
    </row>
    <row r="16" spans="2:13" ht="20.149999999999999" customHeight="1" thickBot="1" x14ac:dyDescent="0.35">
      <c r="B16" s="380"/>
      <c r="D16" s="101" t="s">
        <v>75</v>
      </c>
      <c r="E16" s="339">
        <v>20</v>
      </c>
      <c r="F16" s="41"/>
      <c r="G16" s="41"/>
      <c r="H16" s="41"/>
      <c r="I16" s="41"/>
      <c r="J16" s="41"/>
      <c r="K16" s="41"/>
      <c r="L16" s="41"/>
      <c r="M16" s="41"/>
    </row>
    <row r="17" spans="2:13" ht="20.149999999999999" customHeight="1" x14ac:dyDescent="0.3">
      <c r="B17" s="41"/>
      <c r="D17" s="101" t="s">
        <v>132</v>
      </c>
      <c r="E17" s="339">
        <v>5</v>
      </c>
      <c r="F17" s="41"/>
      <c r="G17" s="41"/>
      <c r="H17" s="41"/>
      <c r="I17" s="41"/>
      <c r="J17" s="41"/>
      <c r="K17" s="41"/>
      <c r="L17" s="41"/>
      <c r="M17" s="41"/>
    </row>
    <row r="18" spans="2:13" ht="20.149999999999999" customHeight="1" thickBot="1" x14ac:dyDescent="0.35">
      <c r="B18" s="41"/>
      <c r="D18" s="102"/>
      <c r="E18" s="155"/>
      <c r="F18" s="41"/>
      <c r="G18" s="41"/>
      <c r="H18" s="41"/>
      <c r="I18" s="41"/>
      <c r="J18" s="41"/>
      <c r="K18" s="41"/>
      <c r="L18" s="41"/>
      <c r="M18" s="41"/>
    </row>
    <row r="19" spans="2:13" ht="25.5" customHeight="1" x14ac:dyDescent="0.3">
      <c r="B19" s="66" t="s">
        <v>4</v>
      </c>
      <c r="C19" s="45"/>
      <c r="D19" s="45"/>
      <c r="E19" s="45"/>
      <c r="F19" s="41"/>
      <c r="G19" s="41"/>
      <c r="H19" s="41"/>
      <c r="I19" s="41"/>
      <c r="J19" s="41"/>
      <c r="K19" s="41"/>
      <c r="L19" s="41"/>
      <c r="M19" s="41"/>
    </row>
    <row r="20" spans="2:13" ht="9.75" customHeight="1" x14ac:dyDescent="0.35">
      <c r="B20" s="67"/>
      <c r="C20" s="61"/>
      <c r="D20" s="61"/>
      <c r="E20" s="60"/>
      <c r="F20" s="41"/>
      <c r="G20" s="41"/>
      <c r="H20" s="41"/>
      <c r="I20" s="41"/>
      <c r="J20" s="41"/>
      <c r="K20" s="41"/>
      <c r="L20" s="41"/>
      <c r="M20" s="41"/>
    </row>
    <row r="21" spans="2:13" ht="16.5" customHeight="1" thickBot="1" x14ac:dyDescent="0.35">
      <c r="B21" s="45"/>
      <c r="C21" s="41"/>
      <c r="D21" s="41"/>
      <c r="E21" s="59"/>
      <c r="F21" s="41"/>
      <c r="G21" s="41"/>
      <c r="H21" s="41"/>
      <c r="I21" s="41"/>
      <c r="J21" s="41"/>
      <c r="K21" s="41"/>
      <c r="L21" s="41"/>
      <c r="M21" s="41"/>
    </row>
    <row r="22" spans="2:13" s="37" customFormat="1" ht="23.25" customHeight="1" thickBot="1" x14ac:dyDescent="0.35">
      <c r="B22" s="381" t="str">
        <f>IF($B$15='Translations (internal)'!$E$3,'Translations (internal)'!E9,IF($B$15='Translations (internal)'!$F$3,'Translations (internal)'!F9,IF($B$15='Translations (internal)'!$G$3,'Translations (internal)'!G9,IF($B$15='Translations (internal)'!$H$3,'Translations (internal)'!H9,IF($B$15='Translations (internal)'!$I$3,'Translations (internal)'!I9,'Translations (internal)'!E9)))))</f>
        <v>Enter the Energy Efficiency Measure</v>
      </c>
      <c r="C22" s="382"/>
      <c r="D22" s="81" t="str">
        <f>IF($B$15='Translations (internal)'!$E$3,'Translations (internal)'!E10,IF($B$15='Translations (internal)'!$F$3,'Translations (internal)'!F10,IF($B$15='Translations (internal)'!$G$3,'Translations (internal)'!G10,IF($B$15='Translations (internal)'!$H$3,'Translations (internal)'!H10,IF($B$15='Translations (internal)'!$I$3,'Translations (internal)'!I10,'Translations (internal)'!E10)))))</f>
        <v>Reference Situation</v>
      </c>
      <c r="E22" s="81" t="str">
        <f>IF($B$15='Translations (internal)'!$E$3,'Translations (internal)'!E11,IF($B$15='Translations (internal)'!$F$3,'Translations (internal)'!F11,IF($B$15='Translations (internal)'!$G$3,'Translations (internal)'!G11,IF($B$15='Translations (internal)'!$H$3,'Translations (internal)'!H11,IF($B$15='Translations (internal)'!$I$3,'Translations (internal)'!I11,'Translations (internal)'!E11)))))</f>
        <v>Target Situation</v>
      </c>
      <c r="F22" s="41"/>
      <c r="G22" s="41"/>
      <c r="H22" s="41"/>
      <c r="I22" s="41"/>
      <c r="J22" s="41"/>
      <c r="K22" s="41"/>
      <c r="L22" s="41"/>
      <c r="M22" s="41"/>
    </row>
    <row r="23" spans="2:13" ht="18" customHeight="1" thickBot="1" x14ac:dyDescent="0.35">
      <c r="B23" s="103" t="str">
        <f>IF($B$15='Translations (internal)'!$E$3,'Translations (internal)'!E12,IF($B$15='Translations (internal)'!$F$3,'Translations (internal)'!F12,IF($B$15='Translations (internal)'!$G$3,'Translations (internal)'!G12,IF($B$15='Translations (internal)'!$H$3,'Translations (internal)'!H12,IF($B$15='Translations (internal)'!$I$3,'Translations (internal)'!I12,'Translations (internal)'!E12)))))</f>
        <v>Description</v>
      </c>
      <c r="C23" s="75"/>
      <c r="D23" s="151"/>
      <c r="E23" s="152"/>
      <c r="F23" s="41"/>
      <c r="G23" s="41"/>
      <c r="H23" s="41"/>
      <c r="I23" s="41"/>
      <c r="J23" s="41"/>
      <c r="K23" s="41"/>
      <c r="L23" s="41"/>
      <c r="M23" s="41"/>
    </row>
    <row r="24" spans="2:13" ht="42" customHeight="1" thickBot="1" x14ac:dyDescent="0.35">
      <c r="B24" s="383" t="str">
        <f>IF($B$15='Translations (internal)'!$E$3,'Translations (internal)'!E13,IF($B$15='Translations (internal)'!$F$3,'Translations (internal)'!F13,IF($B$15='Translations (internal)'!$G$3,'Translations (internal)'!G13,IF($B$15='Translations (internal)'!$H$3,'Translations (internal)'!H13,IF($B$15='Translations (internal)'!$I$3,'Translations (internal)'!I13,'Translations (internal)'!E13)))))</f>
        <v>Name</v>
      </c>
      <c r="C24" s="384"/>
      <c r="D24" s="134" t="s">
        <v>175</v>
      </c>
      <c r="E24" s="354" t="s">
        <v>176</v>
      </c>
      <c r="F24" s="41"/>
      <c r="G24" s="41"/>
      <c r="H24" s="41"/>
      <c r="J24" s="41"/>
      <c r="K24" s="41"/>
      <c r="L24" s="41"/>
    </row>
    <row r="25" spans="2:13" ht="23.25" hidden="1" customHeight="1" thickBot="1" x14ac:dyDescent="0.35">
      <c r="B25" s="385"/>
      <c r="C25" s="384"/>
      <c r="D25" s="186"/>
      <c r="E25" s="353"/>
      <c r="F25" s="41"/>
      <c r="G25" s="41"/>
      <c r="H25" s="41"/>
      <c r="J25" s="41"/>
      <c r="K25" s="41"/>
      <c r="L25" s="41"/>
    </row>
    <row r="26" spans="2:13" ht="14.5" thickBot="1" x14ac:dyDescent="0.35">
      <c r="B26" s="103" t="str">
        <f>IF($B$15='Translations (internal)'!$E$3,'Translations (internal)'!E15,IF($B$15='Translations (internal)'!$F$3,'Translations (internal)'!F15,IF($B$15='Translations (internal)'!$G$3,'Translations (internal)'!G15,IF($B$15='Translations (internal)'!$H$3,'Translations (internal)'!H15,IF($B$15='Translations (internal)'!$I$3,'Translations (internal)'!I15,'Translations (internal)'!E15)))))</f>
        <v>Enter Investment Data</v>
      </c>
      <c r="C26" s="75"/>
      <c r="D26" s="144"/>
      <c r="E26" s="145"/>
      <c r="F26" s="41"/>
      <c r="G26" s="41"/>
      <c r="H26" s="41"/>
      <c r="J26" s="41"/>
      <c r="K26" s="41"/>
      <c r="L26" s="41"/>
    </row>
    <row r="27" spans="2:13" ht="15" thickBot="1" x14ac:dyDescent="0.4">
      <c r="B27" s="391" t="str">
        <f>IF($B$15='Translations (internal)'!$E$3,'Translations (internal)'!E16,IF($B$15='Translations (internal)'!$F$3,'Translations (internal)'!F16,IF($B$15='Translations (internal)'!$G$3,'Translations (internal)'!G16,IF($B$15='Translations (internal)'!$H$3,'Translations (internal)'!H16,IF($B$15='Translations (internal)'!$I$3,'Translations (internal)'!I16,'Translations (internal)'!E15)))))</f>
        <v>Purchase price, installation…(€)</v>
      </c>
      <c r="C27" s="392"/>
      <c r="D27" s="149"/>
      <c r="E27" s="340">
        <v>230000</v>
      </c>
      <c r="F27" s="187"/>
      <c r="G27" s="41"/>
      <c r="H27" s="41"/>
      <c r="J27" s="41"/>
      <c r="K27" s="41"/>
      <c r="L27" s="41"/>
    </row>
    <row r="28" spans="2:13" ht="14.25" hidden="1" customHeight="1" x14ac:dyDescent="0.3">
      <c r="B28" s="388" t="s">
        <v>83</v>
      </c>
      <c r="C28" s="77" t="s">
        <v>50</v>
      </c>
      <c r="D28" s="85" t="s">
        <v>65</v>
      </c>
      <c r="E28" s="79" t="s">
        <v>65</v>
      </c>
      <c r="F28" s="41"/>
      <c r="G28" s="41"/>
      <c r="H28" s="41"/>
      <c r="J28" s="41"/>
      <c r="K28" s="41"/>
      <c r="L28" s="41"/>
    </row>
    <row r="29" spans="2:13" ht="14.25" hidden="1" customHeight="1" x14ac:dyDescent="0.3">
      <c r="B29" s="389"/>
      <c r="C29" s="188"/>
      <c r="D29" s="189"/>
      <c r="E29" s="190"/>
      <c r="F29" s="41"/>
      <c r="G29" s="41"/>
      <c r="H29" s="41"/>
      <c r="J29" s="41"/>
      <c r="K29" s="41"/>
      <c r="L29" s="41"/>
    </row>
    <row r="30" spans="2:13" ht="9" hidden="1" customHeight="1" thickBot="1" x14ac:dyDescent="0.35">
      <c r="B30" s="390"/>
      <c r="C30" s="191"/>
      <c r="D30" s="192"/>
      <c r="E30" s="193"/>
      <c r="F30" s="41"/>
      <c r="G30" s="41"/>
      <c r="H30" s="41"/>
      <c r="J30" s="41"/>
      <c r="K30" s="41"/>
      <c r="L30" s="41"/>
    </row>
    <row r="31" spans="2:13" ht="17.25" customHeight="1" thickBot="1" x14ac:dyDescent="0.35">
      <c r="B31" s="103" t="str">
        <f>IF($B$15='Translations (internal)'!$E$3,'Translations (internal)'!E17,IF($B$15='Translations (internal)'!$F$3,'Translations (internal)'!F17,IF($B$15='Translations (internal)'!$G$3,'Translations (internal)'!G17,IF($B$15='Translations (internal)'!$H$3,'Translations (internal)'!H17,IF($B$15='Translations (internal)'!$I$3,'Translations (internal)'!I17,'Translations (internal)'!E17)))))</f>
        <v>Enter Energy consumtion</v>
      </c>
      <c r="C31" s="75"/>
      <c r="D31" s="135"/>
      <c r="E31" s="136"/>
      <c r="F31" s="41"/>
      <c r="G31" s="41"/>
      <c r="H31" s="41"/>
      <c r="J31" s="41"/>
      <c r="K31" s="41"/>
      <c r="L31" s="194"/>
    </row>
    <row r="32" spans="2:13" x14ac:dyDescent="0.3">
      <c r="B32" s="411" t="str">
        <f>IF($B$15='Translations (internal)'!$E$3,'Translations (internal)'!E18,IF($B$15='Translations (internal)'!$F$3,'Translations (internal)'!F18,IF($B$15='Translations (internal)'!$G$3,'Translations (internal)'!G18,IF($B$15='Translations (internal)'!$H$3,'Translations (internal)'!H18,IF($B$15='Translations (internal)'!$I$3,'Translations (internal)'!I18,'Translations (internal)'!E18)))))</f>
        <v>Average Power Demand over year (kW)</v>
      </c>
      <c r="C32" s="374" t="str">
        <f>'!'!O6</f>
        <v>Electricity</v>
      </c>
      <c r="D32" s="376"/>
      <c r="E32" s="377"/>
      <c r="F32" s="41"/>
      <c r="G32" s="41"/>
      <c r="H32" s="41"/>
      <c r="I32" s="41"/>
      <c r="J32" s="41"/>
      <c r="K32" s="41"/>
      <c r="L32" s="83"/>
    </row>
    <row r="33" spans="2:12" x14ac:dyDescent="0.3">
      <c r="B33" s="412"/>
      <c r="C33" s="374" t="str">
        <f>'!'!O7</f>
        <v>Gas</v>
      </c>
      <c r="D33" s="376"/>
      <c r="E33" s="377"/>
      <c r="F33" s="41"/>
      <c r="G33" s="41"/>
      <c r="H33" s="41"/>
      <c r="I33" s="41"/>
      <c r="J33" s="41"/>
      <c r="K33" s="41"/>
      <c r="L33" s="41"/>
    </row>
    <row r="34" spans="2:12" x14ac:dyDescent="0.3">
      <c r="B34" s="413"/>
      <c r="C34" s="374" t="str">
        <f>'!'!O8</f>
        <v>-</v>
      </c>
      <c r="D34" s="376"/>
      <c r="E34" s="377"/>
      <c r="F34" s="41"/>
      <c r="G34" s="41"/>
      <c r="H34" s="41"/>
      <c r="I34" s="41"/>
      <c r="J34" s="41"/>
      <c r="K34" s="41"/>
      <c r="L34" s="41"/>
    </row>
    <row r="35" spans="2:12" ht="14.25" customHeight="1" x14ac:dyDescent="0.3">
      <c r="B35" s="422" t="str">
        <f>IF($B$15='Translations (internal)'!$E$3,'Translations (internal)'!E19,IF($B$15='Translations (internal)'!$F$3,'Translations (internal)'!F19,IF($B$15='Translations (internal)'!$G$3,'Translations (internal)'!G19,IF($B$15='Translations (internal)'!$H$3,'Translations (internal)'!H19,IF($B$15='Translations (internal)'!$I$3,'Translations (internal)'!I19,'Translations (internal)'!E19)))))</f>
        <v>or: Energy Consumption per year (kWh/a)</v>
      </c>
      <c r="C35" s="375" t="str">
        <f>'!'!O6</f>
        <v>Electricity</v>
      </c>
      <c r="D35" s="341">
        <v>5000000</v>
      </c>
      <c r="E35" s="342">
        <v>4945000</v>
      </c>
      <c r="F35" s="41"/>
      <c r="G35" s="41"/>
      <c r="H35" s="41"/>
      <c r="I35" s="41"/>
      <c r="J35" s="41"/>
      <c r="K35" s="41"/>
      <c r="L35" s="41"/>
    </row>
    <row r="36" spans="2:12" ht="14.25" customHeight="1" x14ac:dyDescent="0.3">
      <c r="B36" s="412"/>
      <c r="C36" s="375" t="str">
        <f>'!'!O7</f>
        <v>Gas</v>
      </c>
      <c r="D36" s="343">
        <v>3500000</v>
      </c>
      <c r="E36" s="344">
        <v>2485000</v>
      </c>
      <c r="F36" s="41"/>
      <c r="G36" s="41"/>
      <c r="H36" s="41"/>
      <c r="I36" s="41"/>
      <c r="J36" s="41"/>
      <c r="K36" s="41"/>
      <c r="L36" s="41"/>
    </row>
    <row r="37" spans="2:12" ht="15" customHeight="1" thickBot="1" x14ac:dyDescent="0.35">
      <c r="B37" s="423"/>
      <c r="C37" s="375" t="str">
        <f>'!'!O8</f>
        <v>-</v>
      </c>
      <c r="D37" s="138"/>
      <c r="E37" s="139"/>
      <c r="F37" s="41"/>
      <c r="G37" s="41"/>
      <c r="H37" s="41"/>
      <c r="I37" s="41"/>
      <c r="J37" s="41"/>
      <c r="K37" s="41"/>
      <c r="L37" s="41"/>
    </row>
    <row r="38" spans="2:12" ht="15.75" customHeight="1" thickBot="1" x14ac:dyDescent="0.35">
      <c r="B38" s="137" t="str">
        <f>IF($B$15='Translations (internal)'!$E$3,'Translations (internal)'!E20,IF($B$15='Translations (internal)'!$F$3,'Translations (internal)'!F20,IF($B$15='Translations (internal)'!$G$3,'Translations (internal)'!G20,IF($B$15='Translations (internal)'!$H$3,'Translations (internal)'!H20,IF($B$15='Translations (internal)'!$I$3,'Translations (internal)'!I20,'Translations (internal)'!E20)))))</f>
        <v>Enter Further Costs (e. g. Maintenance)</v>
      </c>
      <c r="C38" s="75"/>
      <c r="D38" s="135"/>
      <c r="E38" s="136"/>
      <c r="F38" s="41"/>
      <c r="G38" s="41"/>
      <c r="H38" s="41"/>
      <c r="I38" s="41"/>
      <c r="J38" s="41"/>
      <c r="K38" s="41"/>
      <c r="L38" s="41"/>
    </row>
    <row r="39" spans="2:12" ht="14.5" hidden="1" x14ac:dyDescent="0.35">
      <c r="B39" s="414" t="s">
        <v>58</v>
      </c>
      <c r="C39" s="415"/>
      <c r="D39" s="86"/>
      <c r="E39" s="80"/>
      <c r="F39" s="41"/>
      <c r="G39" s="58"/>
      <c r="H39" s="41"/>
      <c r="I39" s="195"/>
      <c r="J39" s="196"/>
      <c r="K39" s="195"/>
      <c r="L39" s="41"/>
    </row>
    <row r="40" spans="2:12" ht="18" customHeight="1" thickBot="1" x14ac:dyDescent="0.4">
      <c r="B40" s="433" t="str">
        <f>IF($B$15='Translations (internal)'!$E$3,'Translations (internal)'!E21,IF($B$15='Translations (internal)'!$F$3,'Translations (internal)'!F21,IF($B$15='Translations (internal)'!$G$3,'Translations (internal)'!G21,IF($B$15='Translations (internal)'!$H$3,'Translations (internal)'!H21,IF($B$15='Translations (internal)'!$I$3,'Translations (internal)'!I21,'Translations (internal)'!E21)))))</f>
        <v>Further Costs per year [€]</v>
      </c>
      <c r="C40" s="434"/>
      <c r="D40" s="140">
        <v>50</v>
      </c>
      <c r="E40" s="141">
        <v>50</v>
      </c>
      <c r="F40" s="41"/>
      <c r="G40" s="58"/>
      <c r="H40" s="41"/>
      <c r="I40" s="195"/>
      <c r="J40" s="196"/>
      <c r="K40" s="195"/>
      <c r="L40" s="41"/>
    </row>
    <row r="41" spans="2:12" ht="14.5" hidden="1" x14ac:dyDescent="0.3">
      <c r="B41" s="407" t="s">
        <v>84</v>
      </c>
      <c r="C41" s="76" t="s">
        <v>50</v>
      </c>
      <c r="D41" s="142" t="s">
        <v>69</v>
      </c>
      <c r="E41" s="143" t="s">
        <v>69</v>
      </c>
      <c r="F41" s="41"/>
      <c r="G41" s="58"/>
      <c r="H41" s="41"/>
      <c r="I41" s="195"/>
      <c r="J41" s="196"/>
      <c r="K41" s="195"/>
      <c r="L41" s="41"/>
    </row>
    <row r="42" spans="2:12" ht="14.5" hidden="1" x14ac:dyDescent="0.3">
      <c r="B42" s="408"/>
      <c r="C42" s="197"/>
      <c r="D42" s="198"/>
      <c r="E42" s="199"/>
      <c r="F42" s="41"/>
      <c r="G42" s="58"/>
      <c r="H42" s="41"/>
      <c r="I42" s="195"/>
      <c r="J42" s="196"/>
      <c r="K42" s="195"/>
      <c r="L42" s="41"/>
    </row>
    <row r="43" spans="2:12" ht="15" hidden="1" thickBot="1" x14ac:dyDescent="0.35">
      <c r="B43" s="408"/>
      <c r="C43" s="197"/>
      <c r="D43" s="198"/>
      <c r="E43" s="199"/>
      <c r="F43" s="41"/>
      <c r="G43" s="58"/>
      <c r="H43" s="41"/>
      <c r="I43" s="195"/>
      <c r="J43" s="196"/>
      <c r="K43" s="195"/>
      <c r="L43" s="41"/>
    </row>
    <row r="44" spans="2:12" ht="15.75" customHeight="1" thickBot="1" x14ac:dyDescent="0.35">
      <c r="B44" s="103" t="str">
        <f>IF($B$15='Translations (internal)'!$E$3,'Translations (internal)'!E22,IF($B$15='Translations (internal)'!$F$3,'Translations (internal)'!F22,IF($B$15='Translations (internal)'!$G$3,'Translations (internal)'!G22,IF($B$15='Translations (internal)'!$H$3,'Translations (internal)'!H22,IF($B$15='Translations (internal)'!$I$3,'Translations (internal)'!I22,'Translations (internal)'!E22)))))</f>
        <v>Life Cycle</v>
      </c>
      <c r="C44" s="75"/>
      <c r="D44" s="144"/>
      <c r="E44" s="145"/>
      <c r="F44" s="41"/>
      <c r="G44" s="41"/>
      <c r="H44" s="41"/>
      <c r="I44" s="41"/>
      <c r="J44" s="41"/>
      <c r="K44" s="41"/>
      <c r="L44" s="41"/>
    </row>
    <row r="45" spans="2:12" hidden="1" x14ac:dyDescent="0.3">
      <c r="B45" s="388" t="s">
        <v>64</v>
      </c>
      <c r="C45" s="78" t="s">
        <v>50</v>
      </c>
      <c r="D45" s="146" t="s">
        <v>65</v>
      </c>
      <c r="E45" s="147" t="s">
        <v>65</v>
      </c>
      <c r="F45" s="41"/>
      <c r="G45" s="41"/>
      <c r="H45" s="41"/>
      <c r="I45" s="41"/>
      <c r="J45" s="41"/>
      <c r="K45" s="41"/>
      <c r="L45" s="41"/>
    </row>
    <row r="46" spans="2:12" hidden="1" x14ac:dyDescent="0.3">
      <c r="B46" s="389"/>
      <c r="C46" s="188"/>
      <c r="D46" s="200"/>
      <c r="E46" s="201"/>
      <c r="F46" s="41"/>
      <c r="G46" s="41"/>
      <c r="H46" s="41"/>
      <c r="I46" s="41"/>
      <c r="J46" s="41"/>
      <c r="K46" s="41"/>
      <c r="L46" s="41"/>
    </row>
    <row r="47" spans="2:12" ht="14.5" hidden="1" thickBot="1" x14ac:dyDescent="0.35">
      <c r="B47" s="431"/>
      <c r="C47" s="202"/>
      <c r="D47" s="203"/>
      <c r="E47" s="204"/>
      <c r="F47" s="41"/>
      <c r="G47" s="41"/>
      <c r="H47" s="41"/>
      <c r="I47" s="41"/>
      <c r="J47" s="41"/>
      <c r="K47" s="41"/>
      <c r="L47" s="83"/>
    </row>
    <row r="48" spans="2:12" ht="14.5" x14ac:dyDescent="0.35">
      <c r="B48" s="386" t="str">
        <f>IF($B$15='Translations (internal)'!$E$3,'Translations (internal)'!E14,IF($B$15='Translations (internal)'!$F$3,'Translations (internal)'!F14,IF($B$15='Translations (internal)'!$G$3,'Translations (internal)'!G14,IF($B$15='Translations (internal)'!$H$3,'Translations (internal)'!H14,IF($B$15='Translations (internal)'!$I$3,'Translations (internal)'!I14,'Translations (internal)'!E14)))))</f>
        <v>Operating hours / year (h/a)</v>
      </c>
      <c r="C48" s="387"/>
      <c r="D48" s="150">
        <v>8000</v>
      </c>
      <c r="E48" s="148">
        <v>8000</v>
      </c>
      <c r="F48" s="41"/>
      <c r="G48" s="41"/>
      <c r="H48" s="41"/>
      <c r="I48" s="41"/>
      <c r="J48" s="41"/>
      <c r="K48" s="41"/>
      <c r="L48" s="41"/>
    </row>
    <row r="49" spans="2:13" ht="15" thickBot="1" x14ac:dyDescent="0.4">
      <c r="B49" s="391" t="str">
        <f>IF($B$15='Translations (internal)'!$E$3,'Translations (internal)'!E23,IF($B$15='Translations (internal)'!$F$3,'Translations (internal)'!F23,IF($B$15='Translations (internal)'!$G$3,'Translations (internal)'!G23,IF($B$15='Translations (internal)'!$H$3,'Translations (internal)'!H23,IF($B$15='Translations (internal)'!$I$3,'Translations (internal)'!I23,'Translations (internal)'!E23)))))</f>
        <v>Costs at end of lifetime [€]</v>
      </c>
      <c r="C49" s="432"/>
      <c r="D49" s="166">
        <v>0</v>
      </c>
      <c r="E49" s="167">
        <v>0</v>
      </c>
      <c r="F49" s="41"/>
      <c r="G49" s="41"/>
      <c r="H49" s="41"/>
      <c r="I49" s="41"/>
      <c r="J49" s="41"/>
      <c r="K49" s="41"/>
      <c r="L49" s="41"/>
    </row>
    <row r="50" spans="2:13" ht="15" thickBot="1" x14ac:dyDescent="0.4">
      <c r="B50" s="391" t="str">
        <f>IF($B$15='Translations (internal)'!$E$3,'Translations (internal)'!E24,IF($B$15='Translations (internal)'!$F$3,'Translations (internal)'!F24,IF($B$15='Translations (internal)'!$G$3,'Translations (internal)'!G24,IF($B$15='Translations (internal)'!$H$3,'Translations (internal)'!H24,IF($B$15='Translations (internal)'!$I$3,'Translations (internal)'!I24,'Translations (internal)'!E24)))))</f>
        <v>Lifetime in operating hours [h]</v>
      </c>
      <c r="C50" s="432"/>
      <c r="D50" s="164">
        <v>160000</v>
      </c>
      <c r="E50" s="165">
        <v>160000</v>
      </c>
      <c r="F50" s="41"/>
      <c r="G50" s="41"/>
      <c r="H50" s="41"/>
      <c r="I50" s="41"/>
      <c r="J50" s="41"/>
      <c r="K50" s="41"/>
      <c r="L50" s="41"/>
    </row>
    <row r="51" spans="2:13" ht="9.75" customHeight="1" x14ac:dyDescent="0.3">
      <c r="B51" s="41"/>
      <c r="C51" s="41"/>
      <c r="D51" s="41"/>
      <c r="E51" s="41"/>
      <c r="F51" s="41"/>
      <c r="G51" s="41"/>
      <c r="H51" s="41"/>
      <c r="I51" s="41"/>
      <c r="J51" s="41"/>
      <c r="K51" s="41"/>
      <c r="L51" s="83"/>
      <c r="M51" s="84"/>
    </row>
    <row r="52" spans="2:13" ht="28.5" customHeight="1" x14ac:dyDescent="0.3">
      <c r="B52" s="68"/>
      <c r="C52" s="196"/>
      <c r="D52" s="205"/>
      <c r="E52" s="205"/>
      <c r="F52" s="41"/>
      <c r="G52" s="58"/>
      <c r="H52" s="41"/>
      <c r="I52" s="195"/>
      <c r="J52" s="196"/>
      <c r="K52" s="195"/>
      <c r="L52" s="41"/>
      <c r="M52" s="196"/>
    </row>
    <row r="53" spans="2:13" ht="28.5" customHeight="1" x14ac:dyDescent="0.3">
      <c r="B53" s="402"/>
      <c r="C53" s="403"/>
      <c r="D53" s="205"/>
      <c r="E53" s="196"/>
      <c r="F53" s="205"/>
      <c r="H53" s="41"/>
      <c r="I53" s="196"/>
      <c r="J53" s="195"/>
      <c r="K53" s="196"/>
      <c r="L53" s="195"/>
    </row>
    <row r="54" spans="2:13" ht="28.5" customHeight="1" x14ac:dyDescent="0.3">
      <c r="B54" s="68"/>
      <c r="C54" s="196"/>
      <c r="D54" s="205"/>
      <c r="E54" s="196"/>
      <c r="F54" s="205"/>
      <c r="H54" s="58"/>
      <c r="I54" s="196"/>
      <c r="J54" s="195"/>
      <c r="K54" s="196"/>
      <c r="L54" s="195"/>
    </row>
    <row r="55" spans="2:13" ht="28.5" customHeight="1" x14ac:dyDescent="0.3">
      <c r="B55" s="68"/>
      <c r="C55" s="196"/>
      <c r="D55" s="205"/>
      <c r="E55" s="196"/>
      <c r="F55" s="205"/>
      <c r="H55" s="58"/>
      <c r="I55" s="196"/>
      <c r="J55" s="195"/>
      <c r="K55" s="196"/>
      <c r="L55" s="195"/>
    </row>
    <row r="56" spans="2:13" ht="28.5" customHeight="1" x14ac:dyDescent="0.3">
      <c r="B56" s="68"/>
      <c r="C56" s="196"/>
      <c r="D56" s="205"/>
      <c r="E56" s="196"/>
      <c r="F56" s="205"/>
      <c r="H56" s="58"/>
      <c r="I56" s="196"/>
      <c r="J56" s="195"/>
      <c r="K56" s="196"/>
      <c r="L56" s="195"/>
    </row>
    <row r="57" spans="2:13" ht="28.5" customHeight="1" x14ac:dyDescent="0.3">
      <c r="B57" s="68"/>
      <c r="C57" s="196"/>
      <c r="D57" s="205"/>
      <c r="E57" s="196"/>
      <c r="F57" s="205"/>
      <c r="H57" s="58"/>
      <c r="I57" s="196"/>
      <c r="J57" s="195"/>
      <c r="K57" s="196"/>
      <c r="L57" s="195"/>
    </row>
    <row r="58" spans="2:13" ht="15" customHeight="1" x14ac:dyDescent="0.3">
      <c r="B58" s="68"/>
      <c r="C58" s="196"/>
      <c r="D58" s="205"/>
      <c r="E58" s="196"/>
      <c r="F58" s="205"/>
      <c r="H58" s="58"/>
      <c r="I58" s="196"/>
      <c r="J58" s="195"/>
      <c r="K58" s="196"/>
      <c r="L58" s="195"/>
    </row>
    <row r="59" spans="2:13" ht="47.25" customHeight="1" x14ac:dyDescent="0.3">
      <c r="E59" s="402"/>
      <c r="F59" s="403"/>
    </row>
    <row r="60" spans="2:13" ht="47.25" customHeight="1" x14ac:dyDescent="0.3">
      <c r="C60" s="158"/>
      <c r="D60" s="206"/>
      <c r="E60" s="158"/>
      <c r="F60" s="206"/>
    </row>
    <row r="61" spans="2:13" ht="47.25" customHeight="1" x14ac:dyDescent="0.3">
      <c r="C61" s="158"/>
      <c r="D61" s="206"/>
      <c r="E61" s="158"/>
      <c r="F61" s="206"/>
    </row>
    <row r="62" spans="2:13" ht="47.25" customHeight="1" x14ac:dyDescent="0.3">
      <c r="C62" s="158"/>
      <c r="D62" s="206"/>
      <c r="E62" s="158"/>
      <c r="F62" s="206"/>
    </row>
    <row r="63" spans="2:13" ht="47.25" customHeight="1" x14ac:dyDescent="0.3">
      <c r="C63" s="158"/>
      <c r="D63" s="206"/>
      <c r="E63" s="158"/>
      <c r="F63" s="206"/>
    </row>
    <row r="64" spans="2:13" ht="47.25" customHeight="1" x14ac:dyDescent="0.3">
      <c r="C64" s="158"/>
      <c r="D64" s="206"/>
      <c r="E64" s="158"/>
      <c r="F64" s="206"/>
    </row>
    <row r="65" spans="2:8" ht="47.25" customHeight="1" x14ac:dyDescent="0.3">
      <c r="C65" s="158"/>
      <c r="D65" s="206"/>
      <c r="E65" s="158"/>
      <c r="F65" s="206"/>
    </row>
    <row r="66" spans="2:8" ht="47.25" customHeight="1" x14ac:dyDescent="0.3">
      <c r="C66" s="158"/>
      <c r="D66" s="206"/>
      <c r="E66" s="158"/>
      <c r="F66" s="206"/>
    </row>
    <row r="67" spans="2:8" ht="47.25" customHeight="1" x14ac:dyDescent="0.3">
      <c r="C67" s="158"/>
      <c r="D67" s="206"/>
      <c r="E67" s="158"/>
      <c r="F67" s="206"/>
    </row>
    <row r="68" spans="2:8" ht="47.25" customHeight="1" x14ac:dyDescent="0.3">
      <c r="C68" s="158"/>
      <c r="D68" s="206"/>
      <c r="E68" s="158"/>
      <c r="F68" s="206"/>
    </row>
    <row r="69" spans="2:8" ht="47.25" customHeight="1" x14ac:dyDescent="0.3">
      <c r="C69" s="158"/>
      <c r="D69" s="206"/>
      <c r="E69" s="158"/>
      <c r="F69" s="206"/>
    </row>
    <row r="70" spans="2:8" ht="47.25" customHeight="1" x14ac:dyDescent="0.3">
      <c r="C70" s="158"/>
      <c r="D70" s="206"/>
      <c r="E70" s="158"/>
      <c r="F70" s="206"/>
    </row>
    <row r="71" spans="2:8" ht="47.25" customHeight="1" x14ac:dyDescent="0.3">
      <c r="C71" s="158"/>
      <c r="D71" s="206"/>
      <c r="E71" s="158"/>
      <c r="F71" s="206"/>
    </row>
    <row r="72" spans="2:8" ht="47.25" customHeight="1" x14ac:dyDescent="0.3">
      <c r="C72" s="158"/>
      <c r="D72" s="206"/>
      <c r="E72" s="158"/>
      <c r="F72" s="206"/>
    </row>
    <row r="73" spans="2:8" ht="47.25" customHeight="1" x14ac:dyDescent="0.3">
      <c r="C73" s="158"/>
      <c r="D73" s="206"/>
      <c r="E73" s="158"/>
      <c r="F73" s="206"/>
    </row>
    <row r="74" spans="2:8" ht="47.25" customHeight="1" x14ac:dyDescent="0.3">
      <c r="C74" s="158"/>
      <c r="D74" s="206"/>
      <c r="E74" s="158"/>
      <c r="F74" s="206"/>
    </row>
    <row r="75" spans="2:8" ht="47.25" customHeight="1" x14ac:dyDescent="0.3">
      <c r="C75" s="158"/>
      <c r="D75" s="206"/>
      <c r="E75" s="158"/>
      <c r="F75" s="206"/>
    </row>
    <row r="76" spans="2:8" ht="47.25" customHeight="1" x14ac:dyDescent="0.3">
      <c r="C76" s="158"/>
      <c r="D76" s="206"/>
      <c r="E76" s="158"/>
      <c r="F76" s="206"/>
    </row>
    <row r="77" spans="2:8" ht="47.25" customHeight="1" x14ac:dyDescent="0.3">
      <c r="C77" s="158"/>
      <c r="D77" s="206"/>
      <c r="E77" s="158"/>
      <c r="F77" s="206"/>
    </row>
    <row r="78" spans="2:8" ht="47.25" customHeight="1" x14ac:dyDescent="0.3">
      <c r="C78" s="158"/>
      <c r="D78" s="206"/>
      <c r="E78" s="158"/>
      <c r="F78" s="206"/>
    </row>
    <row r="79" spans="2:8" ht="47.25" customHeight="1" x14ac:dyDescent="0.3">
      <c r="C79" s="158"/>
      <c r="D79" s="206"/>
      <c r="E79" s="158"/>
      <c r="F79" s="206"/>
    </row>
    <row r="80" spans="2:8" ht="20.25" customHeight="1" thickBot="1" x14ac:dyDescent="0.35">
      <c r="B80" s="69"/>
      <c r="H80" s="13"/>
    </row>
    <row r="81" spans="2:20" ht="22.5" customHeight="1" thickTop="1" thickBot="1" x14ac:dyDescent="0.4">
      <c r="B81" s="70" t="s">
        <v>51</v>
      </c>
      <c r="C81" s="22" t="s">
        <v>49</v>
      </c>
      <c r="E81" s="426" t="s">
        <v>55</v>
      </c>
      <c r="F81" s="401"/>
      <c r="G81" s="3"/>
    </row>
    <row r="82" spans="2:20" ht="20.149999999999999" customHeight="1" thickTop="1" thickBot="1" x14ac:dyDescent="0.4">
      <c r="B82" s="71">
        <v>0</v>
      </c>
      <c r="C82" s="23">
        <v>0</v>
      </c>
      <c r="E82" s="435">
        <v>0</v>
      </c>
      <c r="F82" s="436"/>
      <c r="G82" s="3"/>
      <c r="I82" s="1" t="s">
        <v>56</v>
      </c>
    </row>
    <row r="83" spans="2:20" ht="20.149999999999999" customHeight="1" thickTop="1" thickBot="1" x14ac:dyDescent="0.4">
      <c r="E83" s="429"/>
      <c r="F83" s="430"/>
      <c r="G83" s="3"/>
      <c r="I83" s="427">
        <f>IF(ISERROR(VLOOKUP(C46,$C$16:$M$18,4,FALSE)),0,VLOOKUP(C46,$C$16:$M$18,4,FALSE))*D46+IF(ISERROR(VLOOKUP(C465,$C$16:$M$18,4,FALSE)),0,VLOOKUP(C465,$C$16:$M$18,4,FALSE))*D465+D50</f>
        <v>160000</v>
      </c>
      <c r="J83" s="428"/>
      <c r="K83" s="427">
        <f>IF(ISERROR(VLOOKUP('!'!AH42,$C$16:$M$18,4,FALSE)),0,VLOOKUP('!'!AH42,$C$16:$M$18,4,FALSE))*E46+IF(ISERROR(VLOOKUP('!'!AH43,$C$16:$M$18,4,FALSE)),0,VLOOKUP('!'!AH43,$C$16:$M$18,4,FALSE))*E465+E50</f>
        <v>160000</v>
      </c>
      <c r="L83" s="428"/>
      <c r="O83" s="393" t="s">
        <v>62</v>
      </c>
      <c r="P83" s="394"/>
    </row>
    <row r="84" spans="2:20" ht="20.149999999999999" customHeight="1" thickBot="1" x14ac:dyDescent="0.4">
      <c r="E84" s="424"/>
      <c r="F84" s="425"/>
    </row>
    <row r="85" spans="2:20" ht="20.149999999999999" customHeight="1" thickTop="1" x14ac:dyDescent="0.3">
      <c r="I85" s="24" t="s">
        <v>4</v>
      </c>
    </row>
    <row r="86" spans="2:20" ht="20.149999999999999" customHeight="1" thickBot="1" x14ac:dyDescent="0.35"/>
    <row r="87" spans="2:20" ht="20.149999999999999" customHeight="1" thickTop="1" x14ac:dyDescent="0.35">
      <c r="P87" s="399" t="s">
        <v>59</v>
      </c>
      <c r="Q87" s="400"/>
      <c r="R87" s="400"/>
      <c r="S87" s="400"/>
      <c r="T87" s="401"/>
    </row>
    <row r="88" spans="2:20" ht="20.149999999999999" customHeight="1" thickBot="1" x14ac:dyDescent="0.4">
      <c r="P88" s="17">
        <f>Results!H11</f>
        <v>0.02</v>
      </c>
      <c r="Q88" s="18"/>
      <c r="R88" s="18"/>
      <c r="S88" s="18"/>
      <c r="T88" s="19"/>
    </row>
    <row r="89" spans="2:20" ht="20.149999999999999" customHeight="1" thickTop="1" thickBot="1" x14ac:dyDescent="0.4">
      <c r="B89" s="404" t="s">
        <v>52</v>
      </c>
      <c r="C89" s="405"/>
      <c r="D89" s="406"/>
      <c r="E89" s="409"/>
      <c r="F89" s="410"/>
    </row>
    <row r="90" spans="2:20" ht="24.75" customHeight="1" thickTop="1" thickBot="1" x14ac:dyDescent="0.4">
      <c r="C90" s="25"/>
      <c r="D90" s="26"/>
      <c r="P90" s="397" t="s">
        <v>57</v>
      </c>
      <c r="Q90" s="398"/>
    </row>
    <row r="91" spans="2:20" ht="6.75" customHeight="1" thickTop="1" x14ac:dyDescent="0.35">
      <c r="B91" s="72"/>
      <c r="C91" s="25"/>
      <c r="D91" s="26"/>
      <c r="P91" s="395">
        <f>'!'!AN658</f>
        <v>0</v>
      </c>
      <c r="Q91" s="396"/>
    </row>
    <row r="92" spans="2:20" ht="15" customHeight="1" x14ac:dyDescent="0.35">
      <c r="B92" s="72"/>
      <c r="C92" s="25"/>
      <c r="D92" s="26"/>
      <c r="P92" s="395">
        <f>'!'!AN659</f>
        <v>0</v>
      </c>
      <c r="Q92" s="396"/>
    </row>
    <row r="93" spans="2:20" ht="15.75" customHeight="1" thickBot="1" x14ac:dyDescent="0.4">
      <c r="B93" s="73"/>
      <c r="C93" s="18"/>
      <c r="D93" s="19"/>
      <c r="E93" s="27"/>
      <c r="F93" s="28"/>
      <c r="P93" s="395">
        <f>'!'!AN80</f>
        <v>0</v>
      </c>
      <c r="Q93" s="396"/>
    </row>
    <row r="94" spans="2:20" ht="15" customHeight="1" thickTop="1" x14ac:dyDescent="0.3">
      <c r="B94" s="74"/>
      <c r="C94" s="9"/>
      <c r="D94" s="9"/>
      <c r="E94" s="8"/>
      <c r="F94" s="10"/>
      <c r="P94" s="418"/>
      <c r="Q94" s="419"/>
    </row>
    <row r="95" spans="2:20" ht="15" customHeight="1" thickBot="1" x14ac:dyDescent="0.35">
      <c r="B95" s="73"/>
      <c r="C95" s="11"/>
      <c r="D95" s="11"/>
      <c r="E95" s="11"/>
      <c r="F95" s="12"/>
      <c r="P95" s="420"/>
      <c r="Q95" s="421"/>
    </row>
    <row r="96" spans="2:20" ht="15" customHeight="1" thickTop="1" thickBot="1" x14ac:dyDescent="0.35">
      <c r="D96" s="2"/>
      <c r="P96" s="20"/>
      <c r="Q96" s="21"/>
    </row>
    <row r="97" spans="3:20" ht="14.25" customHeight="1" thickTop="1" x14ac:dyDescent="0.3"/>
    <row r="98" spans="3:20" ht="14.25" customHeight="1" x14ac:dyDescent="0.3"/>
    <row r="99" spans="3:20" ht="14.25" customHeight="1" x14ac:dyDescent="0.3"/>
    <row r="100" spans="3:20" ht="15" customHeight="1" thickBot="1" x14ac:dyDescent="0.4">
      <c r="S100" s="159">
        <v>6</v>
      </c>
      <c r="T100" s="160"/>
    </row>
    <row r="101" spans="3:20" ht="15" customHeight="1" thickTop="1" x14ac:dyDescent="0.3">
      <c r="C101" s="29">
        <v>0</v>
      </c>
      <c r="D101" s="30"/>
    </row>
    <row r="102" spans="3:20" ht="14.25" customHeight="1" x14ac:dyDescent="0.3">
      <c r="C102" s="31"/>
      <c r="D102" s="32"/>
    </row>
    <row r="103" spans="3:20" ht="14.25" customHeight="1" thickBot="1" x14ac:dyDescent="0.35">
      <c r="C103" s="31">
        <v>0</v>
      </c>
      <c r="D103" s="32"/>
      <c r="N103" s="416">
        <f>IF(D49=0,9999999999999990,D49)</f>
        <v>9999999999999990</v>
      </c>
      <c r="O103" s="417"/>
      <c r="P103" s="416">
        <f>IF(E49=0,9999999999999990,E49)</f>
        <v>9999999999999990</v>
      </c>
      <c r="Q103" s="417"/>
    </row>
    <row r="104" spans="3:20" ht="14.25" customHeight="1" thickTop="1" x14ac:dyDescent="0.3">
      <c r="C104" s="14" t="s">
        <v>50</v>
      </c>
      <c r="D104" s="15"/>
    </row>
    <row r="105" spans="3:20" ht="14.25" customHeight="1" x14ac:dyDescent="0.3">
      <c r="C105" s="33"/>
      <c r="D105" s="34"/>
    </row>
    <row r="106" spans="3:20" ht="14.25" customHeight="1" x14ac:dyDescent="0.3">
      <c r="C106" s="33"/>
      <c r="D106" s="34"/>
      <c r="N106" s="5" t="str">
        <f>IF('!'!AH365="",Entries!$I$85,'!'!AH365)</f>
        <v>&lt;Auswahl&gt;</v>
      </c>
      <c r="O106" s="6">
        <f>E42</f>
        <v>0</v>
      </c>
    </row>
    <row r="107" spans="3:20" ht="15" customHeight="1" thickBot="1" x14ac:dyDescent="0.35">
      <c r="C107" s="35"/>
      <c r="D107" s="36"/>
      <c r="N107" s="46" t="str">
        <f>IF('!'!AH38="",Entries!$I$85,'!'!AH38)</f>
        <v>&lt;Auswahl&gt;</v>
      </c>
      <c r="O107" s="6">
        <f>E43</f>
        <v>0</v>
      </c>
    </row>
    <row r="108" spans="3:20" ht="15" customHeight="1" thickTop="1" x14ac:dyDescent="0.3">
      <c r="N108" s="46"/>
      <c r="O108" s="6"/>
    </row>
    <row r="109" spans="3:20" x14ac:dyDescent="0.3">
      <c r="N109" s="46"/>
      <c r="O109" s="6"/>
    </row>
    <row r="110" spans="3:20" x14ac:dyDescent="0.3">
      <c r="N110" s="46"/>
      <c r="O110" s="6"/>
    </row>
    <row r="111" spans="3:20" x14ac:dyDescent="0.3">
      <c r="N111" s="5"/>
      <c r="O111" s="6"/>
    </row>
    <row r="112" spans="3:20" x14ac:dyDescent="0.3">
      <c r="N112" s="5"/>
      <c r="O112" s="6"/>
    </row>
    <row r="113" spans="14:15" x14ac:dyDescent="0.3">
      <c r="N113" s="5" t="str">
        <f>IF(K865="",Entries!$I$85,K865)</f>
        <v>&lt;Auswahl&gt;</v>
      </c>
      <c r="O113" s="6">
        <f>L865</f>
        <v>0</v>
      </c>
    </row>
    <row r="114" spans="14:15" ht="14.5" thickBot="1" x14ac:dyDescent="0.35"/>
    <row r="115" spans="14:15" ht="15" thickTop="1" thickBot="1" x14ac:dyDescent="0.35">
      <c r="N115" s="7">
        <f>IF('!'!AH265="",Entries!$B$21,'!'!AH265)</f>
        <v>0</v>
      </c>
      <c r="O115" s="6">
        <f>E32</f>
        <v>0</v>
      </c>
    </row>
    <row r="116" spans="14:15" ht="15" thickTop="1" thickBot="1" x14ac:dyDescent="0.35">
      <c r="N116" s="7" t="str">
        <f>IF('!'!AH28="",Entries!$B$21,'!'!AH28)</f>
        <v>Gas</v>
      </c>
      <c r="O116" s="6">
        <f>E33</f>
        <v>0</v>
      </c>
    </row>
    <row r="117" spans="14:15" ht="15" thickTop="1" thickBot="1" x14ac:dyDescent="0.35">
      <c r="N117" s="7"/>
      <c r="O117" s="6"/>
    </row>
    <row r="118" spans="14:15" ht="15" thickTop="1" thickBot="1" x14ac:dyDescent="0.35">
      <c r="N118" s="7"/>
      <c r="O118" s="6"/>
    </row>
    <row r="119" spans="14:15" ht="15" thickTop="1" thickBot="1" x14ac:dyDescent="0.35">
      <c r="N119" s="7">
        <f>IF(K91="",Entries!$B$21,K91)</f>
        <v>0</v>
      </c>
      <c r="O119" s="6">
        <f>L91</f>
        <v>0</v>
      </c>
    </row>
    <row r="120" spans="14:15" ht="15" thickTop="1" thickBot="1" x14ac:dyDescent="0.35">
      <c r="N120" s="7" t="str">
        <f>IF('!'!AH30="",Entries!$B$21,'!'!AH30)</f>
        <v>Electricity</v>
      </c>
      <c r="O120" s="6">
        <f>E35</f>
        <v>4945000</v>
      </c>
    </row>
    <row r="121" spans="14:15" ht="14.5" thickTop="1" x14ac:dyDescent="0.3">
      <c r="N121" s="7" t="e">
        <f>IF('!'!#REF!="",Entries!$B$21,'!'!#REF!)</f>
        <v>#REF!</v>
      </c>
      <c r="O121" s="6">
        <f>E36</f>
        <v>2485000</v>
      </c>
    </row>
  </sheetData>
  <sheetProtection algorithmName="SHA-512" hashValue="PY+fD4vYlr/kNHD4vZ82tgvImZj3aucXcPTjgAoihc+3jLtVKeicWHZEXLoSVP/IZ/mR3szdvktnFM0wrfKa4g==" saltValue="KxyjSdxKLs2oOoUoxK4nXg==" spinCount="100000" sheet="1" objects="1" scenarios="1"/>
  <customSheetViews>
    <customSheetView guid="{4315B254-8B6B-4A34-8496-E714720EBF5E}" showGridLines="0">
      <pane ySplit="5" topLeftCell="A6" activePane="bottomLeft" state="frozen"/>
      <selection pane="bottomLeft"/>
      <pageMargins left="0.7" right="0.7" top="0.78740157499999996" bottom="0.78740157499999996" header="0.3" footer="0.3"/>
    </customSheetView>
  </customSheetViews>
  <mergeCells count="34">
    <mergeCell ref="N103:O103"/>
    <mergeCell ref="P103:Q103"/>
    <mergeCell ref="P94:Q94"/>
    <mergeCell ref="P95:Q95"/>
    <mergeCell ref="B35:B37"/>
    <mergeCell ref="E84:F84"/>
    <mergeCell ref="E81:F81"/>
    <mergeCell ref="B53:C53"/>
    <mergeCell ref="I83:J83"/>
    <mergeCell ref="K83:L83"/>
    <mergeCell ref="E83:F83"/>
    <mergeCell ref="B45:B47"/>
    <mergeCell ref="B50:C50"/>
    <mergeCell ref="B40:C40"/>
    <mergeCell ref="E82:F82"/>
    <mergeCell ref="B49:C49"/>
    <mergeCell ref="E59:F59"/>
    <mergeCell ref="B89:D89"/>
    <mergeCell ref="B41:B43"/>
    <mergeCell ref="E89:F89"/>
    <mergeCell ref="B32:B34"/>
    <mergeCell ref="B39:C39"/>
    <mergeCell ref="O83:P83"/>
    <mergeCell ref="P93:Q93"/>
    <mergeCell ref="P90:Q90"/>
    <mergeCell ref="P91:Q91"/>
    <mergeCell ref="P92:Q92"/>
    <mergeCell ref="P87:T87"/>
    <mergeCell ref="B15:B16"/>
    <mergeCell ref="B22:C22"/>
    <mergeCell ref="B24:C25"/>
    <mergeCell ref="B48:C48"/>
    <mergeCell ref="B28:B30"/>
    <mergeCell ref="B27:C27"/>
  </mergeCells>
  <phoneticPr fontId="26" type="noConversion"/>
  <dataValidations xWindow="965" yWindow="202" count="20">
    <dataValidation allowBlank="1" promptTitle="Personal anclicken" prompt="Entsprechende Personal aus der Liste auswählen" sqref="O106:O113 F93 O115:O121" xr:uid="{00000000-0002-0000-0000-000000000000}"/>
    <dataValidation type="decimal" allowBlank="1" showErrorMessage="1" errorTitle="Zahl eingeben" error="Bitte in diesem Feld einen Zahl eingeben, keinen Text" promptTitle="Personal anclicken" prompt="Entsprechende Personal aus der Liste auswählen" sqref="D105:D107 D40" xr:uid="{00000000-0002-0000-0000-000001000000}">
      <formula1>-1000000</formula1>
      <formula2>10000000000</formula2>
    </dataValidation>
    <dataValidation type="list" allowBlank="1" showInputMessage="1" showErrorMessage="1" promptTitle="Personal auswählen" prompt="Entsprechendes Personal auswählen, das Sie zuvor unter &quot;Wirtschaftliche Daten&quot; angelegt haben." sqref="E93 N106:N113 C105:C107" xr:uid="{00000000-0002-0000-0000-000002000000}">
      <formula1>Personal_array</formula1>
    </dataValidation>
    <dataValidation type="list" allowBlank="1" showInputMessage="1" showErrorMessage="1" promptTitle="Energieträger auswählen" prompt="Den entsprechenden Energieträger auswählen, mit dem die Anlage betrieben wird und den Sie zuvor unter &quot;Wirtschaftliche Daten&quot; angelegt haben" sqref="N115:N121" xr:uid="{00000000-0002-0000-0000-000003000000}">
      <formula1>Energieträger</formula1>
    </dataValidation>
    <dataValidation type="decimal" allowBlank="1" showInputMessage="1" showErrorMessage="1" errorTitle="Zahl eingeben" error="Bitte in diesem Feld einen Zahl eingeben, keinen Text" prompt="Wenn nicht zutreffend, 0 eintragen" sqref="C101:D103 E89:F89" xr:uid="{00000000-0002-0000-0000-000004000000}">
      <formula1>-1000000</formula1>
      <formula2>10000000000</formula2>
    </dataValidation>
    <dataValidation allowBlank="1" showInputMessage="1" showErrorMessage="1" prompt="zum Beispiel : Strom, Erdgas E, Erdgas LL, Öl, Holzpellets ..." sqref="B20" xr:uid="{00000000-0002-0000-0000-000005000000}"/>
    <dataValidation errorStyle="warning" operator="greaterThan" allowBlank="1" showInputMessage="1" error="In diesem Feld gehört einer texteingabe" prompt="Bspl : Herr Mustermann" sqref="I85" xr:uid="{00000000-0002-0000-0000-000006000000}"/>
    <dataValidation type="decimal" errorStyle="warning" allowBlank="1" showInputMessage="1" showErrorMessage="1" error="In diesem Feld gehört ein Zahl zwischen -100 und 100" prompt="Kosten und Erträge von heute fallen stärker ins Gewicht als solche, die erst erst in ein paar Jahren auftreten. Das Geld würde sich in der Zwischenzeit verzinsen. Der kalkulatorische Zins berücksichtigt das. Näheres dazu finden Sie in &quot;Infos zur Methodik&quot;" sqref="P88" xr:uid="{00000000-0002-0000-0000-000007000000}">
      <formula1>-1</formula1>
      <formula2>1</formula2>
    </dataValidation>
    <dataValidation allowBlank="1" sqref="H12:I12 A10:A12" xr:uid="{00000000-0002-0000-0000-000008000000}"/>
    <dataValidation type="decimal" allowBlank="1" showInputMessage="1" showErrorMessage="1" errorTitle="nur Zahlen eintragen" error="Bitte in diesem Feld nur Zahlen eintragen, keinen Text" prompt="Jährliche Veränderung des Preises für den Energieträger in Prozent pro Jahr" sqref="S100 P91:P95" xr:uid="{00000000-0002-0000-0000-000009000000}">
      <formula1>-1000000</formula1>
      <formula2>1000000000</formula2>
    </dataValidation>
    <dataValidation type="textLength" errorStyle="warning" operator="lessThan" showInputMessage="1" showErrorMessage="1" error="Geben Sie eine kurze Beschreibung ein (max. 50 Zeichen)" sqref="D24:E25" xr:uid="{00000000-0002-0000-0000-00000A000000}">
      <formula1>51</formula1>
    </dataValidation>
    <dataValidation type="decimal" allowBlank="1" showInputMessage="1" showErrorMessage="1" errorTitle="nur Zahlen eintragen" error="Bitte in diesem Feld nur Zahlen eintragen, keinen Text" prompt="Jährliche Veränderung des Personalslohns in Prozent pro Jahr" sqref="E82:E84" xr:uid="{00000000-0002-0000-0000-00000B000000}">
      <formula1>-1000000</formula1>
      <formula2>1000000000</formula2>
    </dataValidation>
    <dataValidation type="decimal" allowBlank="1" showInputMessage="1" showErrorMessage="1" error="In diesem Feld gehört einen Zahl" prompt="Schätzung: Um wie viel Prozent pro Jahr steigern jährlich die Materialkosten für  Wartungsarbeiten (z. B. Preisveränderung für Filter bei Lüftungsanlagen in Prozent pro Jahr)? 0% bedeutet: keine Preisveränderung" sqref="B82" xr:uid="{00000000-0002-0000-0000-00000C000000}">
      <formula1>-100000</formula1>
      <formula2>1000000</formula2>
    </dataValidation>
    <dataValidation type="decimal" allowBlank="1" showInputMessage="1" showErrorMessage="1" error="In diesem Feld gehört einen Zahl" prompt="Am Ende der Lebensdauer fallen Ersatzinvestitionen an. Dies kann eine komplette Erneuerung (z.B: neue Lampen) oder eine Generalüberholung sein (z.B: Zylinderkopf beim BHKW). Schätzung: um wie viel Prozent pro Jahr verändern sich die Preise für den Ersatz?" sqref="C82" xr:uid="{00000000-0002-0000-0000-00000D000000}">
      <formula1>-100000</formula1>
      <formula2>1000000</formula2>
    </dataValidation>
    <dataValidation type="decimal" showInputMessage="1" showErrorMessage="1" errorTitle="Ungültige Eingabe" error="In dieses Feld gehört eine Zahl" sqref="D52:D58 L53:L58 E16:E18 D27:E27 D29:E30 I39:I43 D42:E43 K39:K43 E48 E52 F53:F58 I52 J53:J58 K52 D32:E38 D46:E47 D49:E50" xr:uid="{00000000-0002-0000-0000-00000E000000}">
      <formula1>-1000000000000000</formula1>
      <formula2>10000000000000000</formula2>
    </dataValidation>
    <dataValidation type="decimal" showErrorMessage="1" errorTitle="Ungültige Eingabe" error="In dieses Feld gehört eine Zahl" prompt="Wie viele Stunden beträgt die jährliche Betriebsdauer der Anlage? (1 Jahr hat 8760 Stunden)" sqref="D48" xr:uid="{00000000-0002-0000-0000-00000F000000}">
      <formula1>-1000000000000000</formula1>
      <formula2>10000000000000000</formula2>
    </dataValidation>
    <dataValidation type="decimal" showInputMessage="1" showErrorMessage="1" errorTitle="Ungültige Eingabe" error="In dieses Feld gehört eine Zahl" prompt="Wie viele Stunden beträgt die Lebensdauer der Anlage bis zu dem Zeitpunkt, wo Ersatzinvestitionen anfallen? (1 Jahr hat 8760 Stunden)" sqref="N103:Q103" xr:uid="{00000000-0002-0000-0000-000010000000}">
      <formula1>-1000000000000000</formula1>
      <formula2>10000000000000000</formula2>
    </dataValidation>
    <dataValidation type="list" showInputMessage="1" showErrorMessage="1" promptTitle="Select Energy Source" prompt="Select an Energy Source you have added in &quot;Economic Data&quot; at the Top of this Sheet_x000a__x000a_RED means that the entered Energy Source was not added in &quot;Economic Data&quot; first. In this case just reselect the Energy Source here" sqref="E53:E58 M52 C52 C54:C58" xr:uid="{00000000-0002-0000-0000-000011000000}">
      <formula1>Energieträger</formula1>
    </dataValidation>
    <dataValidation type="list" showInputMessage="1" showErrorMessage="1" promptTitle="Select personell" prompt="Select the personell that you have defined in &quot;Economic Data&quot; at the Top of this Sheet_x000a__x000a_RED means that the entered personell was not added in &quot;Economic Data&quot; first. In this case just reselect the personell here" sqref="C29:C30 I53:I58 C42:C43 J39:J43 C46:C47 J52 K53:K58" xr:uid="{00000000-0002-0000-0000-000012000000}">
      <formula1>Personal_array</formula1>
    </dataValidation>
    <dataValidation showErrorMessage="1" sqref="C32:C37" xr:uid="{00000000-0002-0000-0000-000013000000}"/>
  </dataValidations>
  <pageMargins left="0.39370078740157483" right="0.19685039370078741" top="0.59055118110236227" bottom="0.59055118110236227" header="0.19685039370078741" footer="0.19685039370078741"/>
  <pageSetup paperSize="9" scale="59" orientation="portrait" r:id="rId1"/>
  <drawing r:id="rId2"/>
  <extLst>
    <ext xmlns:x14="http://schemas.microsoft.com/office/spreadsheetml/2009/9/main" uri="{CCE6A557-97BC-4b89-ADB6-D9C93CAAB3DF}">
      <x14:dataValidations xmlns:xm="http://schemas.microsoft.com/office/excel/2006/main" xWindow="965" yWindow="202" count="1">
        <x14:dataValidation type="list" allowBlank="1" showInputMessage="1" showErrorMessage="1" xr:uid="{00000000-0002-0000-0000-000014000000}">
          <x14:formula1>
            <xm:f>'Translations (internal)'!$E$3:$I$3</xm:f>
          </x14:formula1>
          <xm:sqref>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92D050"/>
    <pageSetUpPr fitToPage="1"/>
  </sheetPr>
  <dimension ref="A1:AA69"/>
  <sheetViews>
    <sheetView showGridLines="0" showZeros="0" topLeftCell="B1" zoomScale="85" zoomScaleNormal="85" workbookViewId="0">
      <selection activeCell="P18" sqref="P18"/>
    </sheetView>
  </sheetViews>
  <sheetFormatPr baseColWidth="10" defaultColWidth="11.453125" defaultRowHeight="14" x14ac:dyDescent="0.3"/>
  <cols>
    <col min="1" max="1" width="3" style="1" hidden="1" customWidth="1"/>
    <col min="2" max="2" width="0.453125" style="1" customWidth="1"/>
    <col min="3" max="3" width="2.7265625" style="1" customWidth="1"/>
    <col min="4" max="4" width="11.81640625" style="1" customWidth="1"/>
    <col min="5" max="5" width="4.7265625" style="1" customWidth="1"/>
    <col min="6" max="6" width="21.26953125" style="1" customWidth="1"/>
    <col min="7" max="7" width="27.453125" style="1" customWidth="1"/>
    <col min="8" max="8" width="21.7265625" style="1" customWidth="1"/>
    <col min="9" max="9" width="20.81640625" style="1" customWidth="1"/>
    <col min="10" max="10" width="27.54296875" style="1" customWidth="1"/>
    <col min="11" max="11" width="20.26953125" style="41" customWidth="1"/>
    <col min="12" max="12" width="24.26953125" style="1" customWidth="1"/>
    <col min="13" max="13" width="2.26953125" style="47" customWidth="1"/>
    <col min="14" max="14" width="2.1796875" style="47" customWidth="1"/>
    <col min="15" max="21" width="11.453125" style="1" customWidth="1"/>
    <col min="22" max="22" width="46.453125" style="1" customWidth="1"/>
    <col min="23" max="23" width="37.7265625" style="1" customWidth="1"/>
    <col min="24" max="16384" width="11.453125" style="1"/>
  </cols>
  <sheetData>
    <row r="1" spans="4:27" x14ac:dyDescent="0.3">
      <c r="H1" s="4"/>
      <c r="I1" s="4"/>
      <c r="J1" s="4"/>
      <c r="K1" s="45"/>
      <c r="L1" s="4"/>
      <c r="O1" s="4"/>
    </row>
    <row r="2" spans="4:27" ht="15.5" x14ac:dyDescent="0.3">
      <c r="G2" s="129" t="str">
        <f>IF(Entries!$B$15='Translations (internal)'!$E$3,'Translations (internal)'!E26,IF(Entries!$B$15='Translations (internal)'!$F$3,'Translations (internal)'!F26,IF(Entries!$B$15='Translations (internal)'!$G$3,'Translations (internal)'!G26,IF(Entries!$B$15='Translations (internal)'!$H$3,'Translations (internal)'!H26,IF(Entries!$B$15='Translations (internal)'!$I$3,'Translations (internal)'!I26,'Translations (internal)'!E26)))))</f>
        <v>Profitability Assessment for:</v>
      </c>
      <c r="H2" s="131" t="str">
        <f>Entries!$E$24</f>
        <v>Washing Plant with heat regeneration, eff. pumps</v>
      </c>
      <c r="I2" s="4"/>
      <c r="J2" s="132"/>
      <c r="K2" s="45"/>
      <c r="L2" s="209"/>
      <c r="O2" s="4"/>
    </row>
    <row r="3" spans="4:27" ht="12.75" customHeight="1" x14ac:dyDescent="0.35">
      <c r="H3" s="4"/>
      <c r="I3" s="4"/>
      <c r="J3" s="4"/>
      <c r="K3" s="45"/>
      <c r="L3" s="207"/>
      <c r="O3" s="4"/>
    </row>
    <row r="4" spans="4:27" ht="15.5" x14ac:dyDescent="0.35">
      <c r="G4" s="130" t="str">
        <f>IF(Entries!$B$15='Translations (internal)'!$E$3,'Translations (internal)'!E27,IF(Entries!$B$15='Translations (internal)'!$F$3,'Translations (internal)'!F27,IF(Entries!$B$15='Translations (internal)'!$G$3,'Translations (internal)'!G27,IF(Entries!$B$15='Translations (internal)'!$H$3,'Translations (internal)'!H27,IF(Entries!$B$15='Translations (internal)'!$I$3,'Translations (internal)'!I27,'Translations (internal)'!E27)))))</f>
        <v>in comparison to:</v>
      </c>
      <c r="H4" s="133" t="str">
        <f>Entries!$D$24</f>
        <v>Washing Plant</v>
      </c>
      <c r="I4" s="4"/>
      <c r="J4" s="4"/>
      <c r="K4" s="45"/>
      <c r="O4" s="4"/>
    </row>
    <row r="5" spans="4:27" x14ac:dyDescent="0.3">
      <c r="G5" s="50"/>
      <c r="H5" s="4"/>
      <c r="I5" s="4"/>
      <c r="J5" s="4"/>
      <c r="K5" s="45"/>
      <c r="L5" s="4"/>
      <c r="O5" s="4"/>
    </row>
    <row r="8" spans="4:27" ht="15.5" x14ac:dyDescent="0.3">
      <c r="D8" s="448" t="str">
        <f>IF(Entries!$B$15='Translations (internal)'!$E$3,'Translations (internal)'!E28,IF(Entries!$B$15='Translations (internal)'!$F$3,'Translations (internal)'!F28,IF(Entries!$B$15='Translations (internal)'!$G$3,'Translations (internal)'!G28,IF(Entries!$B$15='Translations (internal)'!$H$3,'Translations (internal)'!H28,IF(Entries!$B$15='Translations (internal)'!$I$3,'Translations (internal)'!I28,'Translations (internal)'!E28)))))</f>
        <v>Settings</v>
      </c>
      <c r="E8" s="448"/>
      <c r="F8" s="449"/>
      <c r="G8" s="449"/>
      <c r="H8" s="99"/>
      <c r="I8" s="161"/>
    </row>
    <row r="9" spans="4:27" ht="15.5" x14ac:dyDescent="0.3">
      <c r="D9" s="450" t="str">
        <f>IF(Entries!$B$15='Translations (internal)'!$E$3,'Translations (internal)'!E29,IF(Entries!$B$15='Translations (internal)'!$F$3,'Translations (internal)'!F29,IF(Entries!$B$15='Translations (internal)'!$G$3,'Translations (internal)'!G29,IF(Entries!$B$15='Translations (internal)'!$H$3,'Translations (internal)'!H29,IF(Entries!$B$15='Translations (internal)'!$I$3,'Translations (internal)'!I29,'Translations (internal)'!E29)))))</f>
        <v>Indicators are considered until end of year</v>
      </c>
      <c r="E9" s="450"/>
      <c r="F9" s="451"/>
      <c r="G9" s="451"/>
      <c r="H9" s="173">
        <v>10</v>
      </c>
      <c r="I9" s="83"/>
      <c r="M9" s="170"/>
      <c r="N9" s="170"/>
    </row>
    <row r="10" spans="4:27" ht="15" customHeight="1" x14ac:dyDescent="0.3">
      <c r="D10" s="450" t="str">
        <f>IF(Entries!$B$15='Translations (internal)'!$E$3,'Translations (internal)'!E30,IF(Entries!$B$15='Translations (internal)'!$F$3,'Translations (internal)'!F30,IF(Entries!$B$15='Translations (internal)'!$G$3,'Translations (internal)'!G30,IF(Entries!$B$15='Translations (internal)'!$H$3,'Translations (internal)'!H30,IF(Entries!$B$15='Translations (internal)'!$I$3,'Translations (internal)'!I30,'Translations (internal)'!E30)))))</f>
        <v>Energy Costs consider a price change per year of</v>
      </c>
      <c r="E10" s="450"/>
      <c r="F10" s="451"/>
      <c r="G10" s="451"/>
      <c r="H10" s="125">
        <v>0</v>
      </c>
      <c r="I10" s="88"/>
    </row>
    <row r="11" spans="4:27" ht="15" customHeight="1" x14ac:dyDescent="0.3">
      <c r="D11" s="450" t="str">
        <f>IF(Entries!$B$15='Translations (internal)'!$E$3,'Translations (internal)'!E31,IF(Entries!$B$15='Translations (internal)'!$F$3,'Translations (internal)'!F31,IF(Entries!$B$15='Translations (internal)'!$G$3,'Translations (internal)'!G31,IF(Entries!$B$15='Translations (internal)'!$H$3,'Translations (internal)'!H31,IF(Entries!$B$15='Translations (internal)'!$I$3,'Translations (internal)'!I31,'Translations (internal)'!E31)))))</f>
        <v>Cash Flows are deducted by imputed interest rate per year of</v>
      </c>
      <c r="E11" s="450"/>
      <c r="F11" s="451"/>
      <c r="G11" s="451"/>
      <c r="H11" s="125">
        <v>0.02</v>
      </c>
      <c r="I11" s="83"/>
    </row>
    <row r="12" spans="4:27" ht="14.5" x14ac:dyDescent="0.3">
      <c r="D12" s="450"/>
      <c r="E12" s="450"/>
      <c r="F12" s="451"/>
      <c r="G12" s="451"/>
      <c r="I12" s="83"/>
    </row>
    <row r="13" spans="4:27" ht="15.5" x14ac:dyDescent="0.3">
      <c r="D13" s="448" t="str">
        <f>IF(Entries!$B$15='Translations (internal)'!$E$3,'Translations (internal)'!E32,IF(Entries!$B$15='Translations (internal)'!$F$3,'Translations (internal)'!F32,IF(Entries!$B$15='Translations (internal)'!$G$3,'Translations (internal)'!G32,IF(Entries!$B$15='Translations (internal)'!$H$3,'Translations (internal)'!H32,IF(Entries!$B$15='Translations (internal)'!$I$3,'Translations (internal)'!I32,'Translations (internal)'!E32)))))</f>
        <v xml:space="preserve">Indicators for evaluating business case                                                                                    </v>
      </c>
      <c r="E13" s="448"/>
      <c r="F13" s="449"/>
      <c r="G13" s="449"/>
      <c r="H13" s="100"/>
      <c r="I13" s="87"/>
    </row>
    <row r="14" spans="4:27" s="37" customFormat="1" ht="15" customHeight="1" x14ac:dyDescent="0.3">
      <c r="D14" s="455" t="str">
        <f>IF(Entries!$B$15='Translations (internal)'!$E$3,'Translations (internal)'!E33,IF(Entries!$B$15='Translations (internal)'!$F$3,'Translations (internal)'!F33,IF(Entries!$B$15='Translations (internal)'!$G$3,'Translations (internal)'!G33,IF(Entries!$B$15='Translations (internal)'!$H$3,'Translations (internal)'!H33,IF(Entries!$B$15='Translations (internal)'!$I$3,'Translations (internal)'!I33,'Translations (internal)'!E33)))))</f>
        <v>Pay back time in years (time until Savings refinance investment)</v>
      </c>
      <c r="E14" s="456"/>
      <c r="F14" s="456"/>
      <c r="G14" s="457"/>
      <c r="H14" s="120">
        <f>IF('!'!J3='!'!V13,'!'!L61,"")</f>
        <v>3.910123122267207</v>
      </c>
      <c r="I14" s="41"/>
      <c r="M14" s="89"/>
    </row>
    <row r="15" spans="4:27" s="37" customFormat="1" ht="18.75" customHeight="1" x14ac:dyDescent="0.35">
      <c r="D15" s="455" t="str">
        <f>IF(Entries!$B$15='Translations (internal)'!$E$3,'Translations (internal)'!E34,IF(Entries!$B$15='Translations (internal)'!$F$3,'Translations (internal)'!F34,IF(Entries!$B$15='Translations (internal)'!$G$3,'Translations (internal)'!G34,IF(Entries!$B$15='Translations (internal)'!$H$3,'Translations (internal)'!H34,IF(Entries!$B$15='Translations (internal)'!$I$3,'Translations (internal)'!I34,'Translations (internal)'!E34)))))</f>
        <v>Net Present Value (how much are all future cash flows worth today)</v>
      </c>
      <c r="E15" s="456"/>
      <c r="F15" s="456"/>
      <c r="G15" s="457"/>
      <c r="H15" s="121">
        <f>IF('!'!J3='!'!V13,'!'!L62,"")</f>
        <v>324674.62413545779</v>
      </c>
      <c r="M15" s="89"/>
    </row>
    <row r="16" spans="4:27" ht="15" customHeight="1" x14ac:dyDescent="0.3">
      <c r="D16" s="455" t="str">
        <f>IF(Entries!$B$15='Translations (internal)'!$E$3,'Translations (internal)'!E35,IF(Entries!$B$15='Translations (internal)'!$F$3,'Translations (internal)'!F35,IF(Entries!$B$15='Translations (internal)'!$G$3,'Translations (internal)'!G35,IF(Entries!$B$15='Translations (internal)'!$H$3,'Translations (internal)'!H35,IF(Entries!$B$15='Translations (internal)'!$I$3,'Translations (internal)'!I35,'Translations (internal)'!E35)))))</f>
        <v>Annuity (Present Value devided by years)</v>
      </c>
      <c r="E16" s="456"/>
      <c r="F16" s="456"/>
      <c r="G16" s="457"/>
      <c r="H16" s="122">
        <f>IF('!'!J3='!'!V13,'!'!L63,"")</f>
        <v>32467.462413545778</v>
      </c>
      <c r="Q16" s="47"/>
      <c r="R16" s="47"/>
      <c r="S16" s="47"/>
      <c r="T16" s="47"/>
      <c r="U16" s="47"/>
      <c r="V16" s="439"/>
      <c r="W16" s="440"/>
      <c r="X16" s="440"/>
      <c r="Y16" s="47"/>
      <c r="Z16" s="47"/>
      <c r="AA16" s="47"/>
    </row>
    <row r="17" spans="2:27" ht="17.25" customHeight="1" x14ac:dyDescent="0.3">
      <c r="D17" s="455" t="str">
        <f>IF(Entries!$B$15='Translations (internal)'!$E$3,'Translations (internal)'!E36,IF(Entries!$B$15='Translations (internal)'!$F$3,'Translations (internal)'!F36,IF(Entries!$B$15='Translations (internal)'!$G$3,'Translations (internal)'!G36,IF(Entries!$B$15='Translations (internal)'!$H$3,'Translations (internal)'!H36,IF(Entries!$B$15='Translations (internal)'!$I$3,'Translations (internal)'!I36,'Translations (internal)'!E36)))))</f>
        <v>Internal Rate of Return (yield, that would bring the same profitability)</v>
      </c>
      <c r="E17" s="456"/>
      <c r="F17" s="456"/>
      <c r="G17" s="457"/>
      <c r="H17" s="123">
        <f>IF('!'!J3='!'!V13,'!'!L64,"")</f>
        <v>0.23628919335028153</v>
      </c>
      <c r="Q17" s="47"/>
      <c r="R17" s="47"/>
      <c r="S17" s="47"/>
      <c r="T17" s="47"/>
      <c r="U17" s="47"/>
      <c r="V17" s="47"/>
      <c r="W17" s="47"/>
      <c r="X17" s="47"/>
      <c r="Y17" s="47"/>
      <c r="Z17" s="47"/>
      <c r="AA17" s="47"/>
    </row>
    <row r="18" spans="2:27" ht="18.75" customHeight="1" x14ac:dyDescent="0.35">
      <c r="D18" s="450" t="str">
        <f>IF(Entries!$B$15='Translations (internal)'!$E$3,'Translations (internal)'!E37,IF(Entries!$B$15='Translations (internal)'!$F$3,'Translations (internal)'!F37,IF(Entries!$B$15='Translations (internal)'!$G$3,'Translations (internal)'!G37,IF(Entries!$B$15='Translations (internal)'!$H$3,'Translations (internal)'!H37,IF(Entries!$B$15='Translations (internal)'!$I$3,'Translations (internal)'!I37,'Translations (internal)'!E37)))))</f>
        <v>ROI (here: Net Present Value devided by initial investment)</v>
      </c>
      <c r="E18" s="450"/>
      <c r="F18" s="450"/>
      <c r="G18" s="450"/>
      <c r="H18" s="124">
        <f>IF('!'!J3='!'!V13,'!'!L65,"")</f>
        <v>1.411628800588947</v>
      </c>
      <c r="O18" s="52"/>
      <c r="Q18" s="162"/>
      <c r="R18" s="446"/>
      <c r="S18" s="447"/>
      <c r="T18" s="47"/>
      <c r="U18" s="47"/>
      <c r="V18" s="47"/>
      <c r="W18" s="47"/>
      <c r="X18" s="47"/>
      <c r="Y18" s="47"/>
      <c r="Z18" s="47"/>
      <c r="AA18" s="47"/>
    </row>
    <row r="19" spans="2:27" ht="18.75" customHeight="1" x14ac:dyDescent="0.3">
      <c r="D19" s="461"/>
      <c r="E19" s="461"/>
      <c r="F19" s="461"/>
      <c r="G19" s="461"/>
      <c r="H19" s="4"/>
      <c r="Q19" s="47"/>
      <c r="R19" s="47"/>
      <c r="S19" s="47"/>
      <c r="T19" s="47"/>
      <c r="U19" s="47"/>
      <c r="V19" s="47"/>
      <c r="W19" s="47"/>
      <c r="X19" s="47"/>
      <c r="Y19" s="47"/>
      <c r="Z19" s="47"/>
      <c r="AA19" s="47"/>
    </row>
    <row r="20" spans="2:27" ht="17.25" customHeight="1" x14ac:dyDescent="0.3">
      <c r="D20" s="444" t="str">
        <f>IF(Entries!$B$15='Translations (internal)'!$E$3,'Translations (internal)'!E38,IF(Entries!$B$15='Translations (internal)'!$F$3,'Translations (internal)'!F38,IF(Entries!$B$15='Translations (internal)'!$G$3,'Translations (internal)'!G38,IF(Entries!$B$15='Translations (internal)'!$H$3,'Translations (internal)'!H38,IF(Entries!$B$15='Translations (internal)'!$I$3,'Translations (internal)'!I38,'Translations (internal)'!E38)))))</f>
        <v>Comparison (whole timeframe)</v>
      </c>
      <c r="E20" s="444"/>
      <c r="F20" s="445"/>
      <c r="G20" s="163" t="str">
        <f>Entries!D22</f>
        <v>Reference Situation</v>
      </c>
      <c r="H20" s="163" t="str">
        <f>Entries!E22</f>
        <v>Target Situation</v>
      </c>
      <c r="I20" s="41"/>
      <c r="J20" s="41"/>
      <c r="O20" s="41"/>
      <c r="Q20" s="441"/>
      <c r="R20" s="440"/>
      <c r="S20" s="440"/>
      <c r="T20" s="47"/>
      <c r="U20" s="47"/>
      <c r="V20" s="47"/>
      <c r="W20" s="47"/>
      <c r="X20" s="47"/>
      <c r="Y20" s="47"/>
      <c r="Z20" s="47"/>
      <c r="AA20" s="47"/>
    </row>
    <row r="21" spans="2:27" ht="18.75" customHeight="1" x14ac:dyDescent="0.35">
      <c r="D21" s="437" t="str">
        <f>IF(Entries!$B$15='Translations (internal)'!$E$3,'Translations (internal)'!E41,IF(Entries!$B$15='Translations (internal)'!$F$3,'Translations (internal)'!F41,IF(Entries!$B$15='Translations (internal)'!$G$3,'Translations (internal)'!G41,IF(Entries!$B$15='Translations (internal)'!$H$3,'Translations (internal)'!H41,IF(Entries!$B$15='Translations (internal)'!$I$3,'Translations (internal)'!I41,'Translations (internal)'!E41)))))</f>
        <v>Investment</v>
      </c>
      <c r="E21" s="437"/>
      <c r="F21" s="438"/>
      <c r="G21" s="126">
        <f>Entries!D27</f>
        <v>0</v>
      </c>
      <c r="H21" s="126">
        <f>Entries!E27</f>
        <v>230000</v>
      </c>
      <c r="I21" s="41"/>
      <c r="J21" s="41"/>
      <c r="O21" s="47"/>
      <c r="P21" s="47"/>
      <c r="Q21" s="47"/>
      <c r="R21" s="47"/>
      <c r="S21" s="47"/>
      <c r="T21" s="47"/>
      <c r="U21" s="47"/>
      <c r="V21" s="47"/>
      <c r="W21" s="47"/>
      <c r="X21" s="47"/>
      <c r="Y21" s="47"/>
      <c r="Z21" s="47"/>
      <c r="AA21" s="47"/>
    </row>
    <row r="22" spans="2:27" ht="15.5" x14ac:dyDescent="0.35">
      <c r="D22" s="437" t="str">
        <f>IF(Entries!$B$15='Translations (internal)'!$E$3,'Translations (internal)'!E42,IF(Entries!$B$15='Translations (internal)'!$F$3,'Translations (internal)'!F42,IF(Entries!$B$15='Translations (internal)'!$G$3,'Translations (internal)'!G42,IF(Entries!$B$15='Translations (internal)'!$H$3,'Translations (internal)'!H42,IF(Entries!$B$15='Translations (internal)'!$I$3,'Translations (internal)'!I42,'Translations (internal)'!E42)))))</f>
        <v>Sum of Energy Costs</v>
      </c>
      <c r="E22" s="437"/>
      <c r="F22" s="438"/>
      <c r="G22" s="126">
        <f>-1*SUM('!'!M191:O291)</f>
        <v>10554537.382334627</v>
      </c>
      <c r="H22" s="126">
        <f>-1*SUM('!'!V191:X291)</f>
        <v>9999862.7581991684</v>
      </c>
      <c r="I22" s="41"/>
      <c r="J22" s="41"/>
      <c r="O22" s="37"/>
      <c r="Q22" s="442"/>
      <c r="R22" s="443"/>
      <c r="S22" s="443"/>
      <c r="T22" s="47"/>
      <c r="U22" s="47"/>
      <c r="V22" s="47"/>
      <c r="W22" s="47"/>
      <c r="X22" s="47"/>
      <c r="Y22" s="47"/>
      <c r="Z22" s="47"/>
      <c r="AA22" s="47"/>
    </row>
    <row r="23" spans="2:27" ht="18" customHeight="1" x14ac:dyDescent="0.35">
      <c r="D23" s="462" t="str">
        <f>IF(Entries!$B$15='Translations (internal)'!$E$3,'Translations (internal)'!E43,IF(Entries!$B$15='Translations (internal)'!$F$3,'Translations (internal)'!F43,IF(Entries!$B$15='Translations (internal)'!$G$3,'Translations (internal)'!G43,IF(Entries!$B$15='Translations (internal)'!$H$3,'Translations (internal)'!H43,IF(Entries!$B$15='Translations (internal)'!$I$3,'Translations (internal)'!I43,'Translations (internal)'!E43)))))</f>
        <v>Sum of Further Costs</v>
      </c>
      <c r="E23" s="462"/>
      <c r="F23" s="463"/>
      <c r="G23" s="126">
        <f>-1*SUM('!'!P191:P291)</f>
        <v>449.12925031211188</v>
      </c>
      <c r="H23" s="126">
        <f>-1*SUM('!'!Y191:Y291)</f>
        <v>449.12925031211188</v>
      </c>
      <c r="I23" s="41"/>
      <c r="J23" s="41"/>
      <c r="K23" s="38"/>
      <c r="Q23" s="47"/>
      <c r="R23" s="47"/>
      <c r="S23" s="47"/>
      <c r="T23" s="47"/>
      <c r="U23" s="47"/>
      <c r="V23" s="47"/>
      <c r="W23" s="47"/>
      <c r="X23" s="47"/>
      <c r="Y23" s="47"/>
      <c r="Z23" s="47"/>
      <c r="AA23" s="47"/>
    </row>
    <row r="24" spans="2:27" ht="16.5" customHeight="1" x14ac:dyDescent="0.35">
      <c r="D24" s="458" t="str">
        <f>IF(Entries!$B$15='Translations (internal)'!$E$3,'Translations (internal)'!E44,IF(Entries!$B$15='Translations (internal)'!$F$3,'Translations (internal)'!F44,IF(Entries!$B$15='Translations (internal)'!$G$3,'Translations (internal)'!G44,IF(Entries!$B$15='Translations (internal)'!$H$3,'Translations (internal)'!H44,IF(Entries!$B$15='Translations (internal)'!$I$3,'Translations (internal)'!I44,'Translations (internal)'!E44)))))</f>
        <v>Costs for all Refurbishments</v>
      </c>
      <c r="E24" s="459"/>
      <c r="F24" s="460"/>
      <c r="G24" s="168">
        <f>-1*SUM('!'!R191:R291)</f>
        <v>0</v>
      </c>
      <c r="H24" s="127">
        <f>-1*SUM('!'!AA191:AA291)</f>
        <v>0</v>
      </c>
      <c r="I24" s="41"/>
      <c r="J24" s="41"/>
      <c r="K24" s="39"/>
      <c r="S24" s="47"/>
      <c r="T24" s="47"/>
      <c r="U24" s="47"/>
      <c r="V24" s="47"/>
      <c r="W24" s="47"/>
      <c r="X24" s="47"/>
      <c r="Y24" s="47"/>
      <c r="Z24" s="47"/>
      <c r="AA24" s="47"/>
    </row>
    <row r="25" spans="2:27" ht="15.75" customHeight="1" x14ac:dyDescent="0.35">
      <c r="D25" s="452" t="str">
        <f>IF(Entries!$B$15='Translations (internal)'!$E$3,'Translations (internal)'!E45,IF(Entries!$B$15='Translations (internal)'!$F$3,'Translations (internal)'!F45,IF(Entries!$B$15='Translations (internal)'!$G$3,'Translations (internal)'!G45,IF(Entries!$B$15='Translations (internal)'!$H$3,'Translations (internal)'!H45,IF(Entries!$B$15='Translations (internal)'!$I$3,'Translations (internal)'!I45,'Translations (internal)'!E45)))))</f>
        <v>(Amount of Refurbishments)</v>
      </c>
      <c r="E25" s="453"/>
      <c r="F25" s="454"/>
      <c r="G25" s="169">
        <f>IF(ISERROR('!'!AG188),0,'!'!AG188)</f>
        <v>0</v>
      </c>
      <c r="H25" s="128">
        <f>IF(ISERROR('!'!AN188),0,'!'!AN188)</f>
        <v>0</v>
      </c>
      <c r="I25" s="41"/>
      <c r="J25" s="41"/>
      <c r="K25" s="90"/>
      <c r="L25" s="40"/>
      <c r="S25" s="47"/>
      <c r="T25" s="47"/>
      <c r="U25" s="47"/>
      <c r="V25" s="47"/>
      <c r="W25" s="47"/>
      <c r="X25" s="47"/>
      <c r="Y25" s="47"/>
      <c r="Z25" s="47"/>
      <c r="AA25" s="47"/>
    </row>
    <row r="26" spans="2:27" ht="12.75" customHeight="1" thickBot="1" x14ac:dyDescent="0.35">
      <c r="B26" s="4"/>
      <c r="C26" s="4"/>
      <c r="M26" s="83"/>
      <c r="Q26" s="47"/>
      <c r="R26" s="47"/>
      <c r="S26" s="47"/>
      <c r="T26" s="47"/>
      <c r="U26" s="47"/>
      <c r="V26" s="47"/>
      <c r="W26" s="47"/>
      <c r="X26" s="47"/>
      <c r="Y26" s="47"/>
      <c r="Z26" s="47"/>
      <c r="AA26" s="47"/>
    </row>
    <row r="27" spans="2:27" ht="66" customHeight="1" x14ac:dyDescent="0.3">
      <c r="B27" s="42"/>
      <c r="C27" s="42"/>
      <c r="D27" s="106" t="str">
        <f>IF(Entries!$B$15='Translations (internal)'!$E$3,'Translations (internal)'!E46,IF(Entries!$B$15='Translations (internal)'!$F$3,'Translations (internal)'!F46,IF(Entries!$B$15='Translations (internal)'!$G$3,'Translations (internal)'!G46,IF(Entries!$B$15='Translations (internal)'!$H$3,'Translations (internal)'!H46,IF(Entries!$B$15='Translations (internal)'!$I$3,'Translations (internal)'!I46,'Translations (internal)'!E46)))))</f>
        <v>Dates</v>
      </c>
      <c r="E27" s="112"/>
      <c r="F27" s="171"/>
      <c r="G27" s="172"/>
      <c r="H27" s="107" t="str">
        <f>IF(Entries!$B$15='Translations (internal)'!$E$3,CONCATENATE('Translations (internal)'!E51," ",'Translations (internal)'!E52," ",'Translations (internal)'!E53),IF(Entries!$B$15='Translations (internal)'!$F$3,CONCATENATE('Translations (internal)'!F51," ",'Translations (internal)'!F52," ",'Translations (internal)'!F53),IF(Entries!$B$15='Translations (internal)'!$G$3,CONCATENATE('Translations (internal)'!G51," ",'Translations (internal)'!G52," ",'Translations (internal)'!G53),IF(Entries!$B$15='Translations (internal)'!$H$3,CONCATENATE('Translations (internal)'!H51," ",'Translations (internal)'!H52," ",'Translations (internal)'!H53),IF(Entries!$B$15='Translations (internal)'!$I$3,CONCATENATE('Translations (internal)'!I51," ",'Translations (internal)'!I52," ",'Translations (internal)'!I53),CONCATENATE('Translations (internal)'!E51," ",'Translations (internal)'!E52," ",'Translations (internal)'!E53))))))</f>
        <v>Cummulated Sum of Discounted Savings</v>
      </c>
      <c r="I27" s="157" t="str">
        <f>IF(Entries!$B$15='Translations (internal)'!$E$3,CONCATENATE('Translations (internal)'!E55," ",'Translations (internal)'!E52," ",'Translations (internal)'!E56),IF(Entries!$B$15='Translations (internal)'!$F$3,CONCATENATE('Translations (internal)'!F55," ",'Translations (internal)'!F52," ",'Translations (internal)'!F56),IF(Entries!$B$15='Translations (internal)'!$G$3,CONCATENATE('Translations (internal)'!G55," ",'Translations (internal)'!G52," ",'Translations (internal)'!G56),IF(Entries!$B$15='Translations (internal)'!$H$3,CONCATENATE('Translations (internal)'!H55," ",'Translations (internal)'!H52," ",'Translations (internal)'!H56),IF(Entries!$B$15='Translations (internal)'!$I$3,CONCATENATE('Translations (internal)'!I55," ",'Translations (internal)'!I52," ",'Translations (internal)'!I56),CONCATENATE('Translations (internal)'!E55," ",'Translations (internal)'!E52," ",'Translations (internal)'!E56))))))</f>
        <v>All Discounted Savings for the year</v>
      </c>
      <c r="J27" s="104" t="str">
        <f>IF(Entries!$B$15='Translations (internal)'!$E$3,CONCATENATE('Translations (internal)'!E52," ",'Translations (internal)'!E57),IF(Entries!$B$15='Translations (internal)'!$F$3,CONCATENATE('Translations (internal)'!F52," ",'Translations (internal)'!F57),IF(Entries!$B$15='Translations (internal)'!$G$3,CONCATENATE('Translations (internal)'!G52," ",'Translations (internal)'!G57),IF(Entries!$B$15='Translations (internal)'!$H$3,CONCATENATE('Translations (internal)'!H52," ",'Translations (internal)'!H57),IF(Entries!$B$15='Translations (internal)'!$I$3,CONCATENATE('Translations (internal)'!I52," ",'Translations (internal)'!I57),CONCATENATE('Translations (internal)'!E52," ",'Translations (internal)'!E57))))))</f>
        <v>Discounted Savings regarding Energy Consumtion</v>
      </c>
      <c r="K27" s="104" t="str">
        <f>IF(Entries!$B$15='Translations (internal)'!$E$3,CONCATENATE('Translations (internal)'!E52," ",'Translations (internal)'!E58),IF(Entries!$B$15='Translations (internal)'!$F$3,CONCATENATE('Translations (internal)'!F52," ",'Translations (internal)'!F58),IF(Entries!$B$15='Translations (internal)'!$G$3,CONCATENATE('Translations (internal)'!G52," ",'Translations (internal)'!G58),IF(Entries!$B$15='Translations (internal)'!$H$3,CONCATENATE('Translations (internal)'!H52," ",'Translations (internal)'!H58),IF(Entries!$B$15='Translations (internal)'!$I$3,CONCATENATE('Translations (internal)'!I52," ",'Translations (internal)'!I58),CONCATENATE('Translations (internal)'!E52," ",'Translations (internal)'!E58))))))</f>
        <v>Discounted further Savings</v>
      </c>
      <c r="L27" s="105" t="str">
        <f>IF(Entries!$B$15='Translations (internal)'!$E$3,CONCATENATE('Translations (internal)'!E52," ",'Translations (internal)'!E59),IF(Entries!$B$15='Translations (internal)'!$F$3,CONCATENATE('Translations (internal)'!F52," ",'Translations (internal)'!F59),IF(Entries!$B$15='Translations (internal)'!$G$3,CONCATENATE('Translations (internal)'!G52," ",'Translations (internal)'!G59),IF(Entries!$B$15='Translations (internal)'!$H$3,CONCATENATE('Translations (internal)'!H52," ",'Translations (internal)'!H59),IF(Entries!$B$15='Translations (internal)'!$I$3,CONCATENATE('Translations (internal)'!I52," ",'Translations (internal)'!I59),CONCATENATE('Translations (internal)'!E52," ",'Translations (internal)'!E59))))))</f>
        <v>Discounted Savings regarding Reinvestments</v>
      </c>
      <c r="T27" s="47"/>
      <c r="U27" s="47"/>
      <c r="V27" s="47"/>
      <c r="W27" s="47"/>
      <c r="X27" s="47"/>
      <c r="Y27" s="47"/>
      <c r="Z27" s="47"/>
      <c r="AA27" s="47"/>
    </row>
    <row r="28" spans="2:27" ht="16.5" customHeight="1" x14ac:dyDescent="0.35">
      <c r="B28" s="118" t="str">
        <f>D28</f>
        <v>Investment</v>
      </c>
      <c r="C28" s="118"/>
      <c r="D28" s="96" t="str">
        <f>IF(Entries!$B$15='Translations (internal)'!$E$3,'Translations (internal)'!E61,IF(Entries!$B$15='Translations (internal)'!$F$3,'Translations (internal)'!F61,IF(Entries!$B$15='Translations (internal)'!$G$3,'Translations (internal)'!G61,IF(Entries!$B$15='Translations (internal)'!$H$3,'Translations (internal)'!H61,IF(Entries!$B$15='Translations (internal)'!$I$3,'Translations (internal)'!I61,'Translations (internal)'!E61)))))</f>
        <v>Investment</v>
      </c>
      <c r="E28" s="97"/>
      <c r="F28" s="97"/>
      <c r="G28" s="98"/>
      <c r="H28" s="345">
        <f>IF('!'!L69=0,0,'!'!L69)</f>
        <v>-230000</v>
      </c>
      <c r="I28" s="346"/>
      <c r="J28" s="347"/>
      <c r="K28" s="347"/>
      <c r="L28" s="348"/>
      <c r="T28" s="47"/>
      <c r="U28" s="47"/>
      <c r="V28" s="47"/>
      <c r="W28" s="47"/>
      <c r="X28" s="47"/>
      <c r="Y28" s="47"/>
      <c r="Z28" s="47"/>
      <c r="AA28" s="47"/>
    </row>
    <row r="29" spans="2:27" ht="15.5" x14ac:dyDescent="0.35">
      <c r="B29" s="82" t="str">
        <f>CONCATENATE(D29," ",E29)</f>
        <v>End of year  1</v>
      </c>
      <c r="C29" s="82"/>
      <c r="D29" s="114" t="str">
        <f>IF('!'!J70=0,"",CONCATENATE('Translations (internal)'!$E$62," "))</f>
        <v xml:space="preserve">End of year </v>
      </c>
      <c r="E29" s="113">
        <f>IF('!'!J70=0,"",'!'!J70)</f>
        <v>1</v>
      </c>
      <c r="F29" s="95" t="str">
        <f>IF($H$11=0,"",IF(E29&lt;&gt;"",IF(Entries!$B$15='Translations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Discounted by</v>
      </c>
      <c r="G29" s="108">
        <f>IF(F29&lt;&gt;"",'!'!U70,"")</f>
        <v>2.0000000000000018E-2</v>
      </c>
      <c r="H29" s="349">
        <f t="shared" ref="H29:H54" si="0">IF(E29="","",H28+I29)</f>
        <v>-169460.78431372554</v>
      </c>
      <c r="I29" s="349">
        <f>IF('!'!L70=0,"",'!'!L70*'!'!T70)</f>
        <v>60539.21568627446</v>
      </c>
      <c r="J29" s="349">
        <f>IF('!'!O70=0,"",'!'!O70*'!'!T70)</f>
        <v>60539.21568627446</v>
      </c>
      <c r="K29" s="349" t="str">
        <f>IF('!'!N70=0,"",'!'!N70*'!'!T70)</f>
        <v/>
      </c>
      <c r="L29" s="350" t="str">
        <f>IF('!'!M70=0,"",'!'!M70*'!'!T70)</f>
        <v/>
      </c>
      <c r="R29" s="47"/>
      <c r="S29" s="47"/>
      <c r="T29" s="47"/>
      <c r="U29" s="47"/>
      <c r="V29" s="47"/>
      <c r="W29" s="47"/>
      <c r="X29" s="47"/>
      <c r="Y29" s="47"/>
      <c r="Z29" s="47"/>
      <c r="AA29" s="47"/>
    </row>
    <row r="30" spans="2:27" ht="15.5" x14ac:dyDescent="0.35">
      <c r="B30" s="82" t="str">
        <f t="shared" ref="B30:B54" si="1">CONCATENATE(D30," ",E30)</f>
        <v>End of year  2</v>
      </c>
      <c r="C30" s="82"/>
      <c r="D30" s="114" t="str">
        <f>IF('!'!J71=0,"",CONCATENATE('Translations (internal)'!$E$62," "))</f>
        <v xml:space="preserve">End of year </v>
      </c>
      <c r="E30" s="113">
        <f>IF('!'!J71=0,"",'!'!J71)</f>
        <v>2</v>
      </c>
      <c r="F30" s="95" t="str">
        <f>IF($H$11=0,"",IF(E30&lt;&gt;"",IF(Entries!$B$15='Translations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Discounted by</v>
      </c>
      <c r="G30" s="109">
        <f>IF(F30&lt;&gt;"",'!'!U71,"")</f>
        <v>4.0399999999999991E-2</v>
      </c>
      <c r="H30" s="351">
        <f t="shared" si="0"/>
        <v>-110108.61207227991</v>
      </c>
      <c r="I30" s="351">
        <f>IF('!'!L71=0,"",'!'!L71*'!'!T71)</f>
        <v>59352.172241445631</v>
      </c>
      <c r="J30" s="351">
        <f>IF('!'!O71=0,"",'!'!O71*'!'!T71)</f>
        <v>59352.172241445631</v>
      </c>
      <c r="K30" s="351" t="str">
        <f>IF('!'!N71=0,"",'!'!N71*'!'!T71)</f>
        <v/>
      </c>
      <c r="L30" s="352" t="str">
        <f>IF('!'!M71=0,"",'!'!M71*'!'!T71)</f>
        <v/>
      </c>
      <c r="R30" s="47"/>
      <c r="S30" s="47"/>
      <c r="T30" s="47"/>
      <c r="U30" s="47"/>
      <c r="V30" s="47"/>
      <c r="W30" s="47"/>
      <c r="X30" s="47"/>
      <c r="Y30" s="47"/>
      <c r="Z30" s="47"/>
      <c r="AA30" s="47"/>
    </row>
    <row r="31" spans="2:27" ht="15.5" x14ac:dyDescent="0.35">
      <c r="B31" s="82" t="str">
        <f t="shared" si="1"/>
        <v>End of year  3</v>
      </c>
      <c r="C31" s="82"/>
      <c r="D31" s="114" t="str">
        <f>IF('!'!J72=0,"",CONCATENATE('Translations (internal)'!$E$62," "))</f>
        <v xml:space="preserve">End of year </v>
      </c>
      <c r="E31" s="113">
        <f>IF('!'!J72=0,"",'!'!J72)</f>
        <v>3</v>
      </c>
      <c r="F31" s="95" t="str">
        <f>IF($H$11=0,"",IF(E31&lt;&gt;"",IF(Entries!$B$15='Translations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Discounted by</v>
      </c>
      <c r="G31" s="109">
        <f>IF(F31&lt;&gt;"",'!'!U72,"")</f>
        <v>6.1207999999999929E-2</v>
      </c>
      <c r="H31" s="351">
        <f t="shared" si="0"/>
        <v>-51920.207913999911</v>
      </c>
      <c r="I31" s="351">
        <f>IF('!'!L72=0,"",'!'!L72*'!'!T72)</f>
        <v>58188.404158279998</v>
      </c>
      <c r="J31" s="351">
        <f>IF('!'!O72=0,"",'!'!O72*'!'!T72)</f>
        <v>58188.404158279998</v>
      </c>
      <c r="K31" s="351" t="str">
        <f>IF('!'!N72=0,"",'!'!N72*'!'!T72)</f>
        <v/>
      </c>
      <c r="L31" s="352" t="str">
        <f>IF('!'!M72=0,"",'!'!M72*'!'!T72)</f>
        <v/>
      </c>
      <c r="R31" s="47"/>
      <c r="S31" s="47"/>
      <c r="T31" s="47"/>
      <c r="U31" s="47"/>
      <c r="V31" s="47"/>
      <c r="W31" s="47"/>
      <c r="X31" s="47"/>
      <c r="Y31" s="47"/>
      <c r="Z31" s="47"/>
      <c r="AA31" s="47"/>
    </row>
    <row r="32" spans="2:27" ht="15.5" x14ac:dyDescent="0.35">
      <c r="B32" s="82" t="str">
        <f t="shared" si="1"/>
        <v>End of year  4</v>
      </c>
      <c r="C32" s="82"/>
      <c r="D32" s="114" t="str">
        <f>IF('!'!J73=0,"",CONCATENATE('Translations (internal)'!$E$62," "))</f>
        <v xml:space="preserve">End of year </v>
      </c>
      <c r="E32" s="113">
        <f>IF('!'!J73=0,"",'!'!J73)</f>
        <v>4</v>
      </c>
      <c r="F32" s="95" t="str">
        <f>IF($H$11=0,"",IF(E32&lt;&gt;"",IF(Entries!$B$15='Translations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Discounted by</v>
      </c>
      <c r="G32" s="109">
        <f>IF(F32&lt;&gt;"",'!'!U73,"")</f>
        <v>8.2432159999999977E-2</v>
      </c>
      <c r="H32" s="351">
        <f t="shared" si="0"/>
        <v>5127.2471431372687</v>
      </c>
      <c r="I32" s="351">
        <f>IF('!'!L73=0,"",'!'!L73*'!'!T73)</f>
        <v>57047.45505713718</v>
      </c>
      <c r="J32" s="351">
        <f>IF('!'!O73=0,"",'!'!O73*'!'!T73)</f>
        <v>57047.45505713718</v>
      </c>
      <c r="K32" s="351" t="str">
        <f>IF('!'!N73=0,"",'!'!N73*'!'!T73)</f>
        <v/>
      </c>
      <c r="L32" s="352" t="str">
        <f>IF('!'!M73=0,"",'!'!M73*'!'!T73)</f>
        <v/>
      </c>
      <c r="R32" s="47"/>
      <c r="S32" s="47"/>
      <c r="T32" s="47"/>
      <c r="U32" s="47"/>
      <c r="V32" s="47"/>
      <c r="W32" s="47"/>
      <c r="X32" s="47"/>
      <c r="Y32" s="47"/>
      <c r="Z32" s="47"/>
      <c r="AA32" s="47"/>
    </row>
    <row r="33" spans="2:27" ht="15.5" x14ac:dyDescent="0.35">
      <c r="B33" s="82" t="str">
        <f t="shared" si="1"/>
        <v>End of year  5</v>
      </c>
      <c r="C33" s="82"/>
      <c r="D33" s="114" t="str">
        <f>IF('!'!J74=0,"",CONCATENATE('Translations (internal)'!$E$62," "))</f>
        <v xml:space="preserve">End of year </v>
      </c>
      <c r="E33" s="113">
        <f>IF('!'!J74=0,"",'!'!J74)</f>
        <v>5</v>
      </c>
      <c r="F33" s="95" t="str">
        <f>IF($H$11=0,"",IF(E33&lt;&gt;"",IF(Entries!$B$15='Translations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Discounted by</v>
      </c>
      <c r="G33" s="109">
        <f>IF(F33&lt;&gt;"",'!'!U74,"")</f>
        <v>0.10408080320000002</v>
      </c>
      <c r="H33" s="351">
        <f t="shared" si="0"/>
        <v>61056.124650134472</v>
      </c>
      <c r="I33" s="351">
        <f>IF('!'!L74=0,"",'!'!L74*'!'!T74)</f>
        <v>55928.877506997203</v>
      </c>
      <c r="J33" s="351">
        <f>IF('!'!O74=0,"",'!'!O74*'!'!T74)</f>
        <v>55928.877506997203</v>
      </c>
      <c r="K33" s="351" t="str">
        <f>IF('!'!N74=0,"",'!'!N74*'!'!T74)</f>
        <v/>
      </c>
      <c r="L33" s="352" t="str">
        <f>IF('!'!M74=0,"",'!'!M74*'!'!T74)</f>
        <v/>
      </c>
      <c r="R33" s="47"/>
      <c r="S33" s="47"/>
      <c r="T33" s="47"/>
      <c r="U33" s="47"/>
      <c r="V33" s="47"/>
      <c r="W33" s="47"/>
      <c r="X33" s="47"/>
      <c r="Y33" s="47"/>
      <c r="Z33" s="47"/>
      <c r="AA33" s="47"/>
    </row>
    <row r="34" spans="2:27" ht="15.5" x14ac:dyDescent="0.35">
      <c r="B34" s="82" t="str">
        <f t="shared" si="1"/>
        <v>End of year  6</v>
      </c>
      <c r="C34" s="82"/>
      <c r="D34" s="114" t="str">
        <f>IF('!'!J75=0,"",CONCATENATE('Translations (internal)'!$E$62," "))</f>
        <v xml:space="preserve">End of year </v>
      </c>
      <c r="E34" s="113">
        <f>IF('!'!J75=0,"",'!'!J75)</f>
        <v>6</v>
      </c>
      <c r="F34" s="95" t="str">
        <f>IF($H$11=0,"",IF(E34&lt;&gt;"",IF(Entries!$B$15='Translations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Discounted by</v>
      </c>
      <c r="G34" s="109">
        <f>IF(F34&lt;&gt;"",'!'!U75,"")</f>
        <v>0.12616241926400007</v>
      </c>
      <c r="H34" s="351">
        <f t="shared" si="0"/>
        <v>115888.35750013182</v>
      </c>
      <c r="I34" s="351">
        <f>IF('!'!L75=0,"",'!'!L75*'!'!T75)</f>
        <v>54832.232849997352</v>
      </c>
      <c r="J34" s="351">
        <f>IF('!'!O75=0,"",'!'!O75*'!'!T75)</f>
        <v>54832.232849997352</v>
      </c>
      <c r="K34" s="351" t="str">
        <f>IF('!'!N75=0,"",'!'!N75*'!'!T75)</f>
        <v/>
      </c>
      <c r="L34" s="352" t="str">
        <f>IF('!'!M75=0,"",'!'!M75*'!'!T75)</f>
        <v/>
      </c>
      <c r="R34" s="47"/>
      <c r="S34" s="47"/>
      <c r="T34" s="47"/>
      <c r="U34" s="47"/>
      <c r="V34" s="47"/>
      <c r="W34" s="47"/>
      <c r="X34" s="47"/>
      <c r="Y34" s="47"/>
      <c r="Z34" s="47"/>
      <c r="AA34" s="47"/>
    </row>
    <row r="35" spans="2:27" ht="15.5" x14ac:dyDescent="0.35">
      <c r="B35" s="82" t="str">
        <f t="shared" si="1"/>
        <v>End of year  7</v>
      </c>
      <c r="C35" s="82"/>
      <c r="D35" s="114" t="str">
        <f>IF('!'!J76=0,"",CONCATENATE('Translations (internal)'!$E$62," "))</f>
        <v xml:space="preserve">End of year </v>
      </c>
      <c r="E35" s="113">
        <f>IF('!'!J76=0,"",'!'!J76)</f>
        <v>7</v>
      </c>
      <c r="F35" s="95" t="str">
        <f>IF($H$11=0,"",IF(E35&lt;&gt;"",IF(Entries!$B$15='Translations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Discounted by</v>
      </c>
      <c r="G35" s="109">
        <f>IF(F35&lt;&gt;"",'!'!U76,"")</f>
        <v>0.14868566764927982</v>
      </c>
      <c r="H35" s="351">
        <f t="shared" si="0"/>
        <v>169645.44852954103</v>
      </c>
      <c r="I35" s="351">
        <f>IF('!'!L76=0,"",'!'!L76*'!'!T76)</f>
        <v>53757.091029409203</v>
      </c>
      <c r="J35" s="351">
        <f>IF('!'!O76=0,"",'!'!O76*'!'!T76)</f>
        <v>53757.091029409203</v>
      </c>
      <c r="K35" s="351" t="str">
        <f>IF('!'!N76=0,"",'!'!N76*'!'!T76)</f>
        <v/>
      </c>
      <c r="L35" s="352" t="str">
        <f>IF('!'!M76=0,"",'!'!M76*'!'!T76)</f>
        <v/>
      </c>
      <c r="R35" s="47"/>
      <c r="S35" s="47"/>
      <c r="T35" s="47"/>
      <c r="U35" s="47"/>
      <c r="V35" s="47"/>
      <c r="W35" s="47"/>
      <c r="X35" s="47"/>
      <c r="Y35" s="47"/>
      <c r="Z35" s="47"/>
      <c r="AA35" s="47"/>
    </row>
    <row r="36" spans="2:27" ht="15.5" x14ac:dyDescent="0.35">
      <c r="B36" s="82" t="str">
        <f t="shared" si="1"/>
        <v>End of year  8</v>
      </c>
      <c r="C36" s="82"/>
      <c r="D36" s="114" t="str">
        <f>IF('!'!J77=0,"",CONCATENATE('Translations (internal)'!$E$62," "))</f>
        <v xml:space="preserve">End of year </v>
      </c>
      <c r="E36" s="113">
        <f>IF('!'!J77=0,"",'!'!J77)</f>
        <v>8</v>
      </c>
      <c r="F36" s="95" t="str">
        <f>IF($H$11=0,"",IF(E36&lt;&gt;"",IF(Entries!$B$15='Translations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Discounted by</v>
      </c>
      <c r="G36" s="109">
        <f>IF(F36&lt;&gt;"",'!'!U77,"")</f>
        <v>0.17165938100226552</v>
      </c>
      <c r="H36" s="351">
        <f t="shared" si="0"/>
        <v>222348.47895053041</v>
      </c>
      <c r="I36" s="351">
        <f>IF('!'!L77=0,"",'!'!L77*'!'!T77)</f>
        <v>52703.03042098938</v>
      </c>
      <c r="J36" s="351">
        <f>IF('!'!O77=0,"",'!'!O77*'!'!T77)</f>
        <v>52703.03042098938</v>
      </c>
      <c r="K36" s="351" t="str">
        <f>IF('!'!N77=0,"",'!'!N77*'!'!T77)</f>
        <v/>
      </c>
      <c r="L36" s="352" t="str">
        <f>IF('!'!M77=0,"",'!'!M77*'!'!T77)</f>
        <v/>
      </c>
    </row>
    <row r="37" spans="2:27" ht="15.5" x14ac:dyDescent="0.35">
      <c r="B37" s="82" t="str">
        <f>CONCATENATE(D37," ",E37)</f>
        <v>End of year  9</v>
      </c>
      <c r="C37" s="82"/>
      <c r="D37" s="114" t="str">
        <f>IF('!'!J78=0,"",CONCATENATE('Translations (internal)'!$E$62," "))</f>
        <v xml:space="preserve">End of year </v>
      </c>
      <c r="E37" s="113">
        <f>IF('!'!J78=0,"",'!'!J78)</f>
        <v>9</v>
      </c>
      <c r="F37" s="95" t="str">
        <f>IF($H$11=0,"",IF(E37&lt;&gt;"",IF(Entries!$B$15='Translations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Discounted by</v>
      </c>
      <c r="G37" s="109">
        <f>IF(F37&lt;&gt;"",'!'!U78,"")</f>
        <v>0.19509256862231084</v>
      </c>
      <c r="H37" s="351">
        <f t="shared" si="0"/>
        <v>274018.11661816691</v>
      </c>
      <c r="I37" s="351">
        <f>IF('!'!L78=0,"",'!'!L78*'!'!T78)</f>
        <v>51669.637667636503</v>
      </c>
      <c r="J37" s="351">
        <f>IF('!'!O78=0,"",'!'!O78*'!'!T78)</f>
        <v>51669.637667636503</v>
      </c>
      <c r="K37" s="351" t="str">
        <f>IF('!'!N78=0,"",'!'!N78*'!'!T78)</f>
        <v/>
      </c>
      <c r="L37" s="352" t="str">
        <f>IF('!'!M78=0,"",'!'!M78*'!'!T78)</f>
        <v/>
      </c>
    </row>
    <row r="38" spans="2:27" ht="15.5" x14ac:dyDescent="0.35">
      <c r="B38" s="82" t="str">
        <f t="shared" si="1"/>
        <v>End of year  10</v>
      </c>
      <c r="C38" s="82"/>
      <c r="D38" s="114" t="str">
        <f>IF('!'!J79=0,"",CONCATENATE('Translations (internal)'!$E$62," "))</f>
        <v xml:space="preserve">End of year </v>
      </c>
      <c r="E38" s="113">
        <f>IF('!'!J79=0,"",'!'!J79)</f>
        <v>10</v>
      </c>
      <c r="F38" s="95" t="str">
        <f>IF($H$11=0,"",IF(E38&lt;&gt;"",IF(Entries!$B$15='Translations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Discounted by</v>
      </c>
      <c r="G38" s="109">
        <f>IF(F38&lt;&gt;"",'!'!U79,"")</f>
        <v>0.21899441999475711</v>
      </c>
      <c r="H38" s="351">
        <f t="shared" si="0"/>
        <v>324674.62413545779</v>
      </c>
      <c r="I38" s="351">
        <f>IF('!'!L79=0,"",'!'!L79*'!'!T79)</f>
        <v>50656.507517290884</v>
      </c>
      <c r="J38" s="351">
        <f>IF('!'!O79=0,"",'!'!O79*'!'!T79)</f>
        <v>50656.507517290884</v>
      </c>
      <c r="K38" s="351" t="str">
        <f>IF('!'!N79=0,"",'!'!N79*'!'!T79)</f>
        <v/>
      </c>
      <c r="L38" s="352" t="str">
        <f>IF('!'!M79=0,"",'!'!M79*'!'!T79)</f>
        <v/>
      </c>
    </row>
    <row r="39" spans="2:27" ht="15.5" x14ac:dyDescent="0.35">
      <c r="B39" s="82" t="str">
        <f t="shared" si="1"/>
        <v xml:space="preserve"> </v>
      </c>
      <c r="C39" s="82"/>
      <c r="D39" s="114" t="str">
        <f>IF('!'!J80=0,"",CONCATENATE('Translations (internal)'!$E$62," "))</f>
        <v/>
      </c>
      <c r="E39" s="113" t="str">
        <f>IF('!'!J80=0,"",'!'!J80)</f>
        <v/>
      </c>
      <c r="F39" s="95" t="str">
        <f>IF($H$11=0,"",IF(E39&lt;&gt;"",IF(Entries!$B$15='Translations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39" s="109" t="str">
        <f>IF(F39&lt;&gt;"",'!'!U80,"")</f>
        <v/>
      </c>
      <c r="H39" s="91" t="str">
        <f t="shared" si="0"/>
        <v/>
      </c>
      <c r="I39" s="91" t="str">
        <f>IF('!'!L80=0,"",'!'!L80*'!'!T80)</f>
        <v/>
      </c>
      <c r="J39" s="91" t="str">
        <f>IF('!'!O80=0,"",'!'!O80*'!'!T80)</f>
        <v/>
      </c>
      <c r="K39" s="91" t="str">
        <f>IF('!'!N80=0,"",'!'!N80*'!'!T80)</f>
        <v/>
      </c>
      <c r="L39" s="93" t="str">
        <f>IF('!'!M80=0,"",'!'!M80*'!'!T80)</f>
        <v/>
      </c>
    </row>
    <row r="40" spans="2:27" ht="15.5" x14ac:dyDescent="0.35">
      <c r="B40" s="82" t="str">
        <f t="shared" si="1"/>
        <v xml:space="preserve"> </v>
      </c>
      <c r="C40" s="82"/>
      <c r="D40" s="114" t="str">
        <f>IF('!'!J81=0,"",CONCATENATE('Translations (internal)'!$E$62," "))</f>
        <v/>
      </c>
      <c r="E40" s="113" t="str">
        <f>IF('!'!J81=0,"",'!'!J81)</f>
        <v/>
      </c>
      <c r="F40" s="95" t="str">
        <f>IF($H$11=0,"",IF(E40&lt;&gt;"",IF(Entries!$B$15='Translations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40" s="109" t="str">
        <f>IF(F40&lt;&gt;"",'!'!U81,"")</f>
        <v/>
      </c>
      <c r="H40" s="91" t="str">
        <f t="shared" si="0"/>
        <v/>
      </c>
      <c r="I40" s="91" t="str">
        <f>IF('!'!L81=0,"",'!'!L81*'!'!T81)</f>
        <v/>
      </c>
      <c r="J40" s="91" t="str">
        <f>IF('!'!O81=0,"",'!'!O81*'!'!T81)</f>
        <v/>
      </c>
      <c r="K40" s="91" t="str">
        <f>IF('!'!N81=0,"",'!'!N81*'!'!T81)</f>
        <v/>
      </c>
      <c r="L40" s="93" t="str">
        <f>IF('!'!M81=0,"",'!'!M81*'!'!T81)</f>
        <v/>
      </c>
    </row>
    <row r="41" spans="2:27" ht="15.5" x14ac:dyDescent="0.35">
      <c r="B41" s="82" t="str">
        <f t="shared" si="1"/>
        <v xml:space="preserve"> </v>
      </c>
      <c r="C41" s="82"/>
      <c r="D41" s="114" t="str">
        <f>IF('!'!J82=0,"",CONCATENATE('Translations (internal)'!$E$62," "))</f>
        <v/>
      </c>
      <c r="E41" s="113" t="str">
        <f>IF('!'!J82=0,"",'!'!J82)</f>
        <v/>
      </c>
      <c r="F41" s="95" t="str">
        <f>IF($H$11=0,"",IF(E41&lt;&gt;"",IF(Entries!$B$15='Translations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41" s="109" t="str">
        <f>IF(F41&lt;&gt;"",'!'!U82,"")</f>
        <v/>
      </c>
      <c r="H41" s="91" t="str">
        <f t="shared" si="0"/>
        <v/>
      </c>
      <c r="I41" s="91" t="str">
        <f>IF('!'!L82=0,"",'!'!L82*'!'!T82)</f>
        <v/>
      </c>
      <c r="J41" s="91" t="str">
        <f>IF('!'!O82=0,"",'!'!O82*'!'!T82)</f>
        <v/>
      </c>
      <c r="K41" s="91" t="str">
        <f>IF('!'!N82=0,"",'!'!N82*'!'!T82)</f>
        <v/>
      </c>
      <c r="L41" s="93" t="str">
        <f>IF('!'!M82=0,"",'!'!M82*'!'!T82)</f>
        <v/>
      </c>
    </row>
    <row r="42" spans="2:27" ht="15.5" x14ac:dyDescent="0.35">
      <c r="B42" s="82" t="str">
        <f t="shared" si="1"/>
        <v xml:space="preserve"> </v>
      </c>
      <c r="C42" s="82"/>
      <c r="D42" s="114" t="str">
        <f>IF('!'!J83=0,"",CONCATENATE('Translations (internal)'!$E$62," "))</f>
        <v/>
      </c>
      <c r="E42" s="113" t="str">
        <f>IF('!'!J83=0,"",'!'!J83)</f>
        <v/>
      </c>
      <c r="F42" s="95" t="str">
        <f>IF($H$11=0,"",IF(E42&lt;&gt;"",IF(Entries!$B$15='Translations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42" s="109" t="str">
        <f>IF(F42&lt;&gt;"",'!'!U83,"")</f>
        <v/>
      </c>
      <c r="H42" s="91" t="str">
        <f t="shared" si="0"/>
        <v/>
      </c>
      <c r="I42" s="91" t="str">
        <f>IF('!'!L83=0,"",'!'!L83*'!'!T83)</f>
        <v/>
      </c>
      <c r="J42" s="91" t="str">
        <f>IF('!'!O83=0,"",'!'!O83*'!'!T83)</f>
        <v/>
      </c>
      <c r="K42" s="91" t="str">
        <f>IF('!'!N83=0,"",'!'!N83*'!'!T83)</f>
        <v/>
      </c>
      <c r="L42" s="93" t="str">
        <f>IF('!'!M83=0,"",'!'!M83*'!'!T83)</f>
        <v/>
      </c>
    </row>
    <row r="43" spans="2:27" ht="15.5" x14ac:dyDescent="0.35">
      <c r="B43" s="82" t="str">
        <f t="shared" si="1"/>
        <v xml:space="preserve"> </v>
      </c>
      <c r="C43" s="82"/>
      <c r="D43" s="114" t="str">
        <f>IF('!'!J84=0,"",CONCATENATE('Translations (internal)'!$E$62," "))</f>
        <v/>
      </c>
      <c r="E43" s="113" t="str">
        <f>IF('!'!J84=0,"",'!'!J84)</f>
        <v/>
      </c>
      <c r="F43" s="95" t="str">
        <f>IF($H$11=0,"",IF(E43&lt;&gt;"",IF(Entries!$B$15='Translations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43" s="109" t="str">
        <f>IF(F43&lt;&gt;"",'!'!U84,"")</f>
        <v/>
      </c>
      <c r="H43" s="91" t="str">
        <f t="shared" si="0"/>
        <v/>
      </c>
      <c r="I43" s="91" t="str">
        <f>IF('!'!L84=0,"",'!'!L84*'!'!T84)</f>
        <v/>
      </c>
      <c r="J43" s="91" t="str">
        <f>IF('!'!O84=0,"",'!'!O84*'!'!T84)</f>
        <v/>
      </c>
      <c r="K43" s="91" t="str">
        <f>IF('!'!N84=0,"",'!'!N84*'!'!T84)</f>
        <v/>
      </c>
      <c r="L43" s="93" t="str">
        <f>IF('!'!M84=0,"",'!'!M84*'!'!T84)</f>
        <v/>
      </c>
    </row>
    <row r="44" spans="2:27" ht="15.5" x14ac:dyDescent="0.35">
      <c r="B44" s="82" t="str">
        <f t="shared" si="1"/>
        <v xml:space="preserve"> </v>
      </c>
      <c r="C44" s="82"/>
      <c r="D44" s="114" t="str">
        <f>IF('!'!J85=0,"",CONCATENATE('Translations (internal)'!$E$62," "))</f>
        <v/>
      </c>
      <c r="E44" s="113" t="str">
        <f>IF('!'!J85=0,"",'!'!J85)</f>
        <v/>
      </c>
      <c r="F44" s="95" t="str">
        <f>IF($H$11=0,"",IF(E44&lt;&gt;"",IF(Entries!$B$15='Translations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44" s="109" t="str">
        <f>IF(F44&lt;&gt;"",'!'!U85,"")</f>
        <v/>
      </c>
      <c r="H44" s="91" t="str">
        <f t="shared" si="0"/>
        <v/>
      </c>
      <c r="I44" s="91" t="str">
        <f>IF('!'!L85=0,"",'!'!L85*'!'!T85)</f>
        <v/>
      </c>
      <c r="J44" s="91" t="str">
        <f>IF('!'!O85=0,"",'!'!O85*'!'!T85)</f>
        <v/>
      </c>
      <c r="K44" s="91" t="str">
        <f>IF('!'!N85=0,"",'!'!N85*'!'!T85)</f>
        <v/>
      </c>
      <c r="L44" s="93" t="str">
        <f>IF('!'!M85=0,"",'!'!M85*'!'!T85)</f>
        <v/>
      </c>
    </row>
    <row r="45" spans="2:27" ht="15.5" x14ac:dyDescent="0.35">
      <c r="B45" s="82" t="str">
        <f t="shared" si="1"/>
        <v xml:space="preserve"> </v>
      </c>
      <c r="C45" s="82"/>
      <c r="D45" s="114" t="str">
        <f>IF('!'!J86=0,"",CONCATENATE('Translations (internal)'!$E$62," "))</f>
        <v/>
      </c>
      <c r="E45" s="113" t="str">
        <f>IF('!'!J86=0,"",'!'!J86)</f>
        <v/>
      </c>
      <c r="F45" s="95" t="str">
        <f>IF($H$11=0,"",IF(E45&lt;&gt;"",IF(Entries!$B$15='Translations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45" s="109" t="str">
        <f>IF(F45&lt;&gt;"",'!'!U86,"")</f>
        <v/>
      </c>
      <c r="H45" s="91" t="str">
        <f t="shared" si="0"/>
        <v/>
      </c>
      <c r="I45" s="91" t="str">
        <f>IF('!'!L86=0,"",'!'!L86*'!'!T86)</f>
        <v/>
      </c>
      <c r="J45" s="91" t="str">
        <f>IF('!'!O86=0,"",'!'!O86*'!'!T86)</f>
        <v/>
      </c>
      <c r="K45" s="91" t="str">
        <f>IF('!'!N86=0,"",'!'!N86*'!'!T86)</f>
        <v/>
      </c>
      <c r="L45" s="93" t="str">
        <f>IF('!'!M86=0,"",'!'!M86*'!'!T86)</f>
        <v/>
      </c>
    </row>
    <row r="46" spans="2:27" ht="15.5" x14ac:dyDescent="0.35">
      <c r="B46" s="82" t="str">
        <f t="shared" si="1"/>
        <v xml:space="preserve"> </v>
      </c>
      <c r="C46" s="82"/>
      <c r="D46" s="114" t="str">
        <f>IF('!'!J87=0,"",CONCATENATE('Translations (internal)'!$E$62," "))</f>
        <v/>
      </c>
      <c r="E46" s="113" t="str">
        <f>IF('!'!J87=0,"",'!'!J87)</f>
        <v/>
      </c>
      <c r="F46" s="95" t="str">
        <f>IF($H$11=0,"",IF(E46&lt;&gt;"",IF(Entries!$B$15='Translations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46" s="109" t="str">
        <f>IF(F46&lt;&gt;"",'!'!U87,"")</f>
        <v/>
      </c>
      <c r="H46" s="91" t="str">
        <f t="shared" si="0"/>
        <v/>
      </c>
      <c r="I46" s="91" t="str">
        <f>IF('!'!L87=0,"",'!'!L87*'!'!T87)</f>
        <v/>
      </c>
      <c r="J46" s="91" t="str">
        <f>IF('!'!O87=0,"",'!'!O87*'!'!T87)</f>
        <v/>
      </c>
      <c r="K46" s="91" t="str">
        <f>IF('!'!N87=0,"",'!'!N87*'!'!T87)</f>
        <v/>
      </c>
      <c r="L46" s="93" t="str">
        <f>IF('!'!M87=0,"",'!'!M87*'!'!T87)</f>
        <v/>
      </c>
    </row>
    <row r="47" spans="2:27" ht="15.5" x14ac:dyDescent="0.35">
      <c r="B47" s="82" t="str">
        <f t="shared" si="1"/>
        <v xml:space="preserve"> </v>
      </c>
      <c r="C47" s="82"/>
      <c r="D47" s="114" t="str">
        <f>IF('!'!J88=0,"",CONCATENATE('Translations (internal)'!$E$62," "))</f>
        <v/>
      </c>
      <c r="E47" s="113" t="str">
        <f>IF('!'!J88=0,"",'!'!J88)</f>
        <v/>
      </c>
      <c r="F47" s="95" t="str">
        <f>IF($H$11=0,"",IF(E47&lt;&gt;"",IF(Entries!$B$15='Translations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47" s="109" t="str">
        <f>IF(F47&lt;&gt;"",'!'!U88,"")</f>
        <v/>
      </c>
      <c r="H47" s="91" t="str">
        <f t="shared" si="0"/>
        <v/>
      </c>
      <c r="I47" s="91" t="str">
        <f>IF('!'!L88=0,"",'!'!L88*'!'!T88)</f>
        <v/>
      </c>
      <c r="J47" s="91" t="str">
        <f>IF('!'!O88=0,"",'!'!O88*'!'!T88)</f>
        <v/>
      </c>
      <c r="K47" s="91" t="str">
        <f>IF('!'!N88=0,"",'!'!N88*'!'!T88)</f>
        <v/>
      </c>
      <c r="L47" s="93" t="str">
        <f>IF('!'!M88=0,"",'!'!M88*'!'!T88)</f>
        <v/>
      </c>
    </row>
    <row r="48" spans="2:27" ht="15.5" x14ac:dyDescent="0.35">
      <c r="B48" s="82" t="str">
        <f t="shared" si="1"/>
        <v xml:space="preserve"> </v>
      </c>
      <c r="C48" s="82"/>
      <c r="D48" s="114" t="str">
        <f>IF('!'!J89=0,"",CONCATENATE('Translations (internal)'!$E$62," "))</f>
        <v/>
      </c>
      <c r="E48" s="113" t="str">
        <f>IF('!'!J89=0,"",'!'!J89)</f>
        <v/>
      </c>
      <c r="F48" s="95" t="str">
        <f>IF($H$11=0,"",IF(E48&lt;&gt;"",IF(Entries!$B$15='Translations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48" s="109" t="str">
        <f>IF(F48&lt;&gt;"",'!'!U89,"")</f>
        <v/>
      </c>
      <c r="H48" s="91" t="str">
        <f t="shared" si="0"/>
        <v/>
      </c>
      <c r="I48" s="91" t="str">
        <f>IF('!'!L89=0,"",'!'!L89*'!'!T89)</f>
        <v/>
      </c>
      <c r="J48" s="91" t="str">
        <f>IF('!'!O89=0,"",'!'!O89*'!'!T89)</f>
        <v/>
      </c>
      <c r="K48" s="91" t="str">
        <f>IF('!'!N89=0,"",'!'!N89*'!'!T89)</f>
        <v/>
      </c>
      <c r="L48" s="93" t="str">
        <f>IF('!'!M89=0,"",'!'!M89*'!'!T89)</f>
        <v/>
      </c>
    </row>
    <row r="49" spans="2:12" ht="15.5" x14ac:dyDescent="0.35">
      <c r="B49" s="82" t="str">
        <f t="shared" si="1"/>
        <v xml:space="preserve"> </v>
      </c>
      <c r="C49" s="82"/>
      <c r="D49" s="114" t="str">
        <f>IF('!'!J90=0,"",CONCATENATE('Translations (internal)'!$E$62," "))</f>
        <v/>
      </c>
      <c r="E49" s="113" t="str">
        <f>IF('!'!J90=0,"",'!'!J90)</f>
        <v/>
      </c>
      <c r="F49" s="95" t="str">
        <f>IF($H$11=0,"",IF(E49&lt;&gt;"",IF(Entries!$B$15='Translations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49" s="109" t="str">
        <f>IF(F49&lt;&gt;"",'!'!U90,"")</f>
        <v/>
      </c>
      <c r="H49" s="91" t="str">
        <f t="shared" si="0"/>
        <v/>
      </c>
      <c r="I49" s="91" t="str">
        <f>IF('!'!L90=0,"",'!'!L90*'!'!T90)</f>
        <v/>
      </c>
      <c r="J49" s="91" t="str">
        <f>IF('!'!O90=0,"",'!'!O90*'!'!T90)</f>
        <v/>
      </c>
      <c r="K49" s="91" t="str">
        <f>IF('!'!N90=0,"",'!'!N90*'!'!T90)</f>
        <v/>
      </c>
      <c r="L49" s="93" t="str">
        <f>IF('!'!M90=0,"",'!'!M90*'!'!T90)</f>
        <v/>
      </c>
    </row>
    <row r="50" spans="2:12" ht="15.5" x14ac:dyDescent="0.35">
      <c r="B50" s="82" t="str">
        <f t="shared" si="1"/>
        <v xml:space="preserve"> </v>
      </c>
      <c r="C50" s="82"/>
      <c r="D50" s="114" t="str">
        <f>IF('!'!J91=0,"",CONCATENATE('Translations (internal)'!$E$62," "))</f>
        <v/>
      </c>
      <c r="E50" s="113" t="str">
        <f>IF('!'!J91=0,"",'!'!J91)</f>
        <v/>
      </c>
      <c r="F50" s="95" t="str">
        <f>IF($H$11=0,"",IF(E50&lt;&gt;"",IF(Entries!$B$15='Translations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50" s="109" t="str">
        <f>IF(F50&lt;&gt;"",'!'!U91,"")</f>
        <v/>
      </c>
      <c r="H50" s="91" t="str">
        <f t="shared" si="0"/>
        <v/>
      </c>
      <c r="I50" s="91" t="str">
        <f>IF('!'!L91=0,"",'!'!L91*'!'!T91)</f>
        <v/>
      </c>
      <c r="J50" s="91" t="str">
        <f>IF('!'!O91=0,"",'!'!O91*'!'!T91)</f>
        <v/>
      </c>
      <c r="K50" s="91" t="str">
        <f>IF('!'!N91=0,"",'!'!N91*'!'!T91)</f>
        <v/>
      </c>
      <c r="L50" s="93" t="str">
        <f>IF('!'!M91=0,"",'!'!M91*'!'!T91)</f>
        <v/>
      </c>
    </row>
    <row r="51" spans="2:12" ht="15.5" x14ac:dyDescent="0.35">
      <c r="B51" s="82" t="str">
        <f t="shared" si="1"/>
        <v xml:space="preserve"> </v>
      </c>
      <c r="C51" s="82"/>
      <c r="D51" s="114" t="str">
        <f>IF('!'!J92=0,"",CONCATENATE('Translations (internal)'!$E$62," "))</f>
        <v/>
      </c>
      <c r="E51" s="113" t="str">
        <f>IF('!'!J92=0,"",'!'!J92)</f>
        <v/>
      </c>
      <c r="F51" s="95" t="str">
        <f>IF($H$11=0,"",IF(E51&lt;&gt;"",IF(Entries!$B$15='Translations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51" s="109" t="str">
        <f>IF(F51&lt;&gt;"",'!'!U92,"")</f>
        <v/>
      </c>
      <c r="H51" s="91" t="str">
        <f t="shared" si="0"/>
        <v/>
      </c>
      <c r="I51" s="91" t="str">
        <f>IF('!'!L92=0,"",'!'!L92*'!'!T92)</f>
        <v/>
      </c>
      <c r="J51" s="91" t="str">
        <f>IF('!'!O92=0,"",'!'!O92*'!'!T92)</f>
        <v/>
      </c>
      <c r="K51" s="91" t="str">
        <f>IF('!'!N92=0,"",'!'!N92*'!'!T92)</f>
        <v/>
      </c>
      <c r="L51" s="93" t="str">
        <f>IF('!'!M92=0,"",'!'!M92*'!'!T92)</f>
        <v/>
      </c>
    </row>
    <row r="52" spans="2:12" ht="15.5" x14ac:dyDescent="0.35">
      <c r="B52" s="82" t="str">
        <f t="shared" si="1"/>
        <v xml:space="preserve"> </v>
      </c>
      <c r="C52" s="82"/>
      <c r="D52" s="114" t="str">
        <f>IF('!'!J93=0,"",CONCATENATE('Translations (internal)'!$E$62," "))</f>
        <v/>
      </c>
      <c r="E52" s="113" t="str">
        <f>IF('!'!J93=0,"",'!'!J93)</f>
        <v/>
      </c>
      <c r="F52" s="95" t="str">
        <f>IF($H$11=0,"",IF(E52&lt;&gt;"",IF(Entries!$B$15='Translations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52" s="109" t="str">
        <f>IF(F52&lt;&gt;"",'!'!U93,"")</f>
        <v/>
      </c>
      <c r="H52" s="91" t="str">
        <f t="shared" si="0"/>
        <v/>
      </c>
      <c r="I52" s="91" t="str">
        <f>IF('!'!L93=0,"",'!'!L93*'!'!T93)</f>
        <v/>
      </c>
      <c r="J52" s="91" t="str">
        <f>IF('!'!O93=0,"",'!'!O93*'!'!T93)</f>
        <v/>
      </c>
      <c r="K52" s="91" t="str">
        <f>IF('!'!N93=0,"",'!'!N93*'!'!T93)</f>
        <v/>
      </c>
      <c r="L52" s="93" t="str">
        <f>IF('!'!M93=0,"",'!'!M93*'!'!T93)</f>
        <v/>
      </c>
    </row>
    <row r="53" spans="2:12" ht="15.5" x14ac:dyDescent="0.35">
      <c r="B53" s="82" t="str">
        <f t="shared" si="1"/>
        <v xml:space="preserve"> </v>
      </c>
      <c r="C53" s="82"/>
      <c r="D53" s="114" t="str">
        <f>IF('!'!J94=0,"",CONCATENATE('Translations (internal)'!$E$62," "))</f>
        <v/>
      </c>
      <c r="E53" s="113" t="str">
        <f>IF('!'!J94=0,"",'!'!J94)</f>
        <v/>
      </c>
      <c r="F53" s="95" t="str">
        <f>IF($H$11=0,"",IF(E53&lt;&gt;"",IF(Entries!$B$15='Translations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53" s="109" t="str">
        <f>IF(F53&lt;&gt;"",'!'!U94,"")</f>
        <v/>
      </c>
      <c r="H53" s="91" t="str">
        <f t="shared" si="0"/>
        <v/>
      </c>
      <c r="I53" s="91" t="str">
        <f>IF('!'!L94=0,"",'!'!L94*'!'!T94)</f>
        <v/>
      </c>
      <c r="J53" s="91" t="str">
        <f>IF('!'!O94=0,"",'!'!O94*'!'!T94)</f>
        <v/>
      </c>
      <c r="K53" s="91" t="str">
        <f>IF('!'!N94=0,"",'!'!N94*'!'!T94)</f>
        <v/>
      </c>
      <c r="L53" s="93" t="str">
        <f>IF('!'!M94=0,"",'!'!M94*'!'!T94)</f>
        <v/>
      </c>
    </row>
    <row r="54" spans="2:12" ht="16" thickBot="1" x14ac:dyDescent="0.4">
      <c r="B54" s="82" t="str">
        <f t="shared" si="1"/>
        <v xml:space="preserve"> </v>
      </c>
      <c r="C54" s="119"/>
      <c r="D54" s="115" t="str">
        <f>IF('!'!J95=0,"",CONCATENATE('Translations (internal)'!$E$62," "))</f>
        <v/>
      </c>
      <c r="E54" s="116" t="str">
        <f>IF('!'!J95=0,"",'!'!J95)</f>
        <v/>
      </c>
      <c r="F54" s="111" t="str">
        <f>IF($H$11=0,"",IF(E54&lt;&gt;"",IF(Entries!$B$15='Translations (internal)'!$E$3,'Translations (internal)'!$E$60,IF(Entries!$B$15='Translations (internal)'!$F$3,'Translations (internal)'!$F$60,IF(Entries!$B$15='Translations (internal)'!$G$3,'Translations (internal)'!$G$60,IF(Entries!$B$15='Translations (internal)'!$H$3,'Translations (internal)'!$H$60,IF(Entries!$B$15='Translations (internal)'!$I$3,'Translations (internal)'!$I$60,'Translations (internal)'!$E$60))))),""))</f>
        <v/>
      </c>
      <c r="G54" s="110" t="str">
        <f>IF(F54&lt;&gt;"",'!'!U95,"")</f>
        <v/>
      </c>
      <c r="H54" s="92" t="str">
        <f t="shared" si="0"/>
        <v/>
      </c>
      <c r="I54" s="92" t="str">
        <f>IF('!'!L95=0,"",'!'!L95*'!'!T95)</f>
        <v/>
      </c>
      <c r="J54" s="92" t="str">
        <f>IF('!'!O95=0,"",'!'!O95*'!'!T95)</f>
        <v/>
      </c>
      <c r="K54" s="92" t="str">
        <f>IF('!'!N95=0,"",'!'!N95*'!'!T95)</f>
        <v/>
      </c>
      <c r="L54" s="94" t="str">
        <f>IF('!'!M95=0,"",'!'!M95*'!'!T95)</f>
        <v/>
      </c>
    </row>
    <row r="55" spans="2:12" x14ac:dyDescent="0.3">
      <c r="B55" s="4"/>
      <c r="C55" s="4"/>
      <c r="D55" s="4"/>
      <c r="E55" s="4"/>
    </row>
    <row r="56" spans="2:12" ht="15" customHeight="1" x14ac:dyDescent="0.3">
      <c r="D56" s="4" t="str">
        <f>IF(Entries!$B$15='Translations (internal)'!$E$3,'Translations (internal)'!E47,IF(Entries!$B$15='Translations (internal)'!$F$3,'Translations (internal)'!F47,IF(Entries!$B$15='Translations (internal)'!$G$3,'Translations (internal)'!G47,IF(Entries!$B$15='Translations (internal)'!$H$3,'Translations (internal)'!H47,IF(Entries!$B$15='Translations (internal)'!$I$3,'Translations (internal)'!I47,'Translations (internal)'!E47)))))</f>
        <v>Remark: Entered price change become effective from the second year onwards as it is assumed that the price is fixed for the first year</v>
      </c>
      <c r="E56" s="51"/>
    </row>
    <row r="57" spans="2:12" ht="15.75" customHeight="1" x14ac:dyDescent="0.3">
      <c r="D57" s="4" t="str">
        <f>IF(Entries!$B$15='Translations (internal)'!$E$3,'Translations (internal)'!E48,IF(Entries!$B$15='Translations (internal)'!$F$3,'Translations (internal)'!F48,IF(Entries!$B$15='Translations (internal)'!$G$3,'Translations (internal)'!G48,IF(Entries!$B$15='Translations (internal)'!$H$3,'Translations (internal)'!H48,IF(Entries!$B$15='Translations (internal)'!$I$3,'Translations (internal)'!I48,'Translations (internal)'!E48)))))</f>
        <v>Remark: We developed this tool under best knowledge. But we are not liable for anything</v>
      </c>
      <c r="E57" s="43"/>
      <c r="F57" s="44"/>
      <c r="G57" s="44"/>
    </row>
    <row r="58" spans="2:12" ht="22.5" customHeight="1" x14ac:dyDescent="0.3"/>
    <row r="59" spans="2:12" ht="18.75" customHeight="1" x14ac:dyDescent="0.3"/>
    <row r="60" spans="2:12" ht="19.5" customHeight="1" x14ac:dyDescent="0.3"/>
    <row r="63" spans="2:12" ht="27.75" customHeight="1" x14ac:dyDescent="0.3"/>
    <row r="64" spans="2:12" ht="21" customHeight="1" x14ac:dyDescent="0.3"/>
    <row r="65" ht="34.5" customHeight="1" x14ac:dyDescent="0.3"/>
    <row r="66" ht="37.5" customHeight="1" x14ac:dyDescent="0.3"/>
    <row r="67" ht="29.25" customHeight="1" x14ac:dyDescent="0.3"/>
    <row r="68" ht="29.25" customHeight="1" x14ac:dyDescent="0.3"/>
    <row r="69" ht="31.5" customHeight="1" x14ac:dyDescent="0.3"/>
  </sheetData>
  <sheetProtection algorithmName="SHA-512" hashValue="E4nlYebCwGglCvjZq0kcmec/+Z28462Lp40PeyhuLocLyuNKQ5gz7OD6aGtHbQSTI3TvgXet/KfMDagvWoh9AQ==" saltValue="Q1VyG++8hxUaPDvTAD9InA==" spinCount="100000" sheet="1" objects="1" scenarios="1"/>
  <customSheetViews>
    <customSheetView guid="{4315B254-8B6B-4A34-8496-E714720EBF5E}" showGridLines="0">
      <pane ySplit="5" topLeftCell="A6" activePane="bottomLeft" state="frozen"/>
      <selection pane="bottomLeft"/>
      <pageMargins left="0.7" right="0.7" top="0.78740157499999996" bottom="0.78740157499999996" header="0.3" footer="0.3"/>
    </customSheetView>
  </customSheetViews>
  <mergeCells count="22">
    <mergeCell ref="D8:G8"/>
    <mergeCell ref="D10:G10"/>
    <mergeCell ref="D11:G11"/>
    <mergeCell ref="D25:F25"/>
    <mergeCell ref="D15:G15"/>
    <mergeCell ref="D16:G16"/>
    <mergeCell ref="D17:G17"/>
    <mergeCell ref="D18:G18"/>
    <mergeCell ref="D24:F24"/>
    <mergeCell ref="D12:G12"/>
    <mergeCell ref="D19:G19"/>
    <mergeCell ref="D23:F23"/>
    <mergeCell ref="D9:G9"/>
    <mergeCell ref="D14:G14"/>
    <mergeCell ref="D13:G13"/>
    <mergeCell ref="D22:F22"/>
    <mergeCell ref="D21:F21"/>
    <mergeCell ref="V16:X16"/>
    <mergeCell ref="Q20:S20"/>
    <mergeCell ref="Q22:S22"/>
    <mergeCell ref="D20:F20"/>
    <mergeCell ref="R18:S18"/>
  </mergeCells>
  <phoneticPr fontId="26" type="noConversion"/>
  <dataValidations count="5">
    <dataValidation allowBlank="1" sqref="E57:G57" xr:uid="{00000000-0002-0000-0100-000000000000}"/>
    <dataValidation type="list" allowBlank="1" showInputMessage="1" showErrorMessage="1" sqref="I14" xr:uid="{00000000-0002-0000-0100-000001000000}">
      <formula1>Jahre</formula1>
    </dataValidation>
    <dataValidation type="decimal" allowBlank="1" showErrorMessage="1" error="In dieses Feld gehört eine Zahl" sqref="H10:H11" xr:uid="{00000000-0002-0000-0100-000002000000}">
      <formula1>-1000000</formula1>
      <formula2>1000000000</formula2>
    </dataValidation>
    <dataValidation type="list" showInputMessage="1" showErrorMessage="1" sqref="M9:N9" xr:uid="{00000000-0002-0000-0100-000003000000}">
      <formula1>Jahre</formula1>
    </dataValidation>
    <dataValidation type="list" showErrorMessage="1" sqref="H9" xr:uid="{00000000-0002-0000-0100-000004000000}">
      <formula1>years</formula1>
    </dataValidation>
  </dataValidations>
  <pageMargins left="0.39370078740157483" right="0.19685039370078741" top="0.59055118110236227" bottom="0.59055118110236227" header="0.19685039370078741" footer="1.9685039370078741"/>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2:BX307"/>
  <sheetViews>
    <sheetView showZeros="0" topLeftCell="H1" zoomScaleNormal="100" workbookViewId="0">
      <selection activeCell="M12" sqref="M12"/>
    </sheetView>
  </sheetViews>
  <sheetFormatPr baseColWidth="10" defaultColWidth="11.453125" defaultRowHeight="13" x14ac:dyDescent="0.3"/>
  <cols>
    <col min="1" max="1" width="19.26953125" style="210" hidden="1" customWidth="1"/>
    <col min="2" max="2" width="14.81640625" style="210" hidden="1" customWidth="1"/>
    <col min="3" max="3" width="26.26953125" style="210" hidden="1" customWidth="1"/>
    <col min="4" max="4" width="14.1796875" style="210" hidden="1" customWidth="1"/>
    <col min="5" max="5" width="18.1796875" style="210" hidden="1" customWidth="1"/>
    <col min="6" max="6" width="9.26953125" style="210" hidden="1" customWidth="1"/>
    <col min="7" max="7" width="9" style="210" hidden="1" customWidth="1"/>
    <col min="8" max="8" width="2.81640625" style="210" customWidth="1"/>
    <col min="9" max="9" width="8.26953125" style="210" customWidth="1"/>
    <col min="10" max="10" width="40.453125" style="210" customWidth="1"/>
    <col min="11" max="11" width="15.7265625" style="210" customWidth="1"/>
    <col min="12" max="12" width="19.81640625" style="210" customWidth="1"/>
    <col min="13" max="17" width="17.7265625" style="210" customWidth="1"/>
    <col min="18" max="18" width="13.54296875" style="210" customWidth="1"/>
    <col min="19" max="19" width="17.1796875" style="210" customWidth="1"/>
    <col min="20" max="20" width="14.54296875" style="210" customWidth="1"/>
    <col min="21" max="21" width="15.453125" style="210" customWidth="1"/>
    <col min="22" max="24" width="14.54296875" style="210" customWidth="1"/>
    <col min="25" max="25" width="17.7265625" style="210" customWidth="1"/>
    <col min="26" max="28" width="14.54296875" style="210" customWidth="1"/>
    <col min="29" max="29" width="12.7265625" style="210" customWidth="1"/>
    <col min="30" max="32" width="14.81640625" style="210" customWidth="1"/>
    <col min="33" max="37" width="14.54296875" style="210" customWidth="1"/>
    <col min="38" max="39" width="14.81640625" style="210" customWidth="1"/>
    <col min="40" max="40" width="10.54296875" style="210" customWidth="1"/>
    <col min="41" max="41" width="8.54296875" style="210" customWidth="1"/>
    <col min="42" max="42" width="11.26953125" style="210" customWidth="1"/>
    <col min="43" max="43" width="3.7265625" style="210" customWidth="1"/>
    <col min="44" max="44" width="14.1796875" style="210" customWidth="1"/>
    <col min="45" max="48" width="12.453125" style="210" customWidth="1"/>
    <col min="49" max="49" width="8.453125" style="210" customWidth="1"/>
    <col min="50" max="64" width="12.453125" style="210" customWidth="1"/>
    <col min="65" max="65" width="9.54296875" style="210" customWidth="1"/>
    <col min="66" max="66" width="5.26953125" style="210" customWidth="1"/>
    <col min="67" max="67" width="4.26953125" style="210" customWidth="1"/>
    <col min="68" max="16384" width="11.453125" style="210"/>
  </cols>
  <sheetData>
    <row r="2" spans="1:56" ht="30" customHeight="1" x14ac:dyDescent="0.3">
      <c r="J2" s="228" t="s">
        <v>70</v>
      </c>
      <c r="K2" s="211"/>
      <c r="L2" s="210" t="s">
        <v>159</v>
      </c>
    </row>
    <row r="3" spans="1:56" ht="24" customHeight="1" x14ac:dyDescent="0.3">
      <c r="F3" s="211"/>
      <c r="G3" s="211"/>
      <c r="H3" s="211"/>
      <c r="I3" s="211"/>
      <c r="J3" s="229" t="s">
        <v>79</v>
      </c>
      <c r="K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row>
    <row r="4" spans="1:56" ht="14.25" customHeight="1" x14ac:dyDescent="0.3">
      <c r="S4" s="211"/>
      <c r="T4" s="211"/>
      <c r="U4" s="211"/>
      <c r="V4" s="210" t="s">
        <v>99</v>
      </c>
    </row>
    <row r="5" spans="1:56" ht="30" customHeight="1" x14ac:dyDescent="0.35">
      <c r="A5" s="230"/>
      <c r="B5" s="230"/>
      <c r="C5" s="230"/>
      <c r="D5" s="230"/>
      <c r="E5" s="230"/>
      <c r="J5" s="470"/>
      <c r="K5" s="470"/>
      <c r="L5" s="231" t="s">
        <v>112</v>
      </c>
      <c r="M5" s="231"/>
      <c r="N5" s="231"/>
      <c r="O5" s="231" t="s">
        <v>114</v>
      </c>
      <c r="P5" s="231" t="s">
        <v>113</v>
      </c>
      <c r="Q5" s="231" t="s">
        <v>115</v>
      </c>
      <c r="V5" s="484">
        <f>L17</f>
        <v>8000</v>
      </c>
      <c r="W5" s="484"/>
      <c r="X5" s="366">
        <f>N17</f>
        <v>8000</v>
      </c>
      <c r="Y5" s="366"/>
      <c r="Z5" s="484">
        <f>L17</f>
        <v>8000</v>
      </c>
      <c r="AA5" s="484"/>
    </row>
    <row r="6" spans="1:56" ht="18" customHeight="1" x14ac:dyDescent="0.35">
      <c r="A6" s="230"/>
      <c r="B6" s="230"/>
      <c r="C6" s="230"/>
      <c r="D6" s="230"/>
      <c r="E6" s="230"/>
      <c r="L6" s="232">
        <f>Entries!P88</f>
        <v>0.02</v>
      </c>
      <c r="M6" s="232"/>
      <c r="N6" s="232"/>
      <c r="O6" s="246" t="str">
        <f>IF(Entries!D16="","-",Entries!D16)</f>
        <v>Electricity</v>
      </c>
      <c r="P6" s="234">
        <f>Entries!E16</f>
        <v>20</v>
      </c>
      <c r="Q6" s="235">
        <f>Q8</f>
        <v>0</v>
      </c>
    </row>
    <row r="7" spans="1:56" ht="25.5" customHeight="1" x14ac:dyDescent="0.35">
      <c r="A7" s="230"/>
      <c r="B7" s="230"/>
      <c r="C7" s="230"/>
      <c r="D7" s="230"/>
      <c r="E7" s="230"/>
      <c r="J7" s="236"/>
      <c r="K7" s="237"/>
      <c r="L7" s="238"/>
      <c r="M7" s="231"/>
      <c r="N7" s="231"/>
      <c r="O7" s="246" t="str">
        <f>IF(Entries!D17="","-",Entries!D17)</f>
        <v>Gas</v>
      </c>
      <c r="P7" s="234">
        <f>Entries!E17</f>
        <v>5</v>
      </c>
      <c r="Q7" s="235">
        <f>Q8</f>
        <v>0</v>
      </c>
      <c r="R7" s="237"/>
    </row>
    <row r="8" spans="1:56" ht="18" customHeight="1" x14ac:dyDescent="0.35">
      <c r="A8" s="230"/>
      <c r="B8" s="230"/>
      <c r="C8" s="230"/>
      <c r="D8" s="230"/>
      <c r="E8" s="230"/>
      <c r="J8" s="212"/>
      <c r="K8" s="239"/>
      <c r="L8" s="240"/>
      <c r="M8" s="241"/>
      <c r="N8" s="235"/>
      <c r="O8" s="246" t="str">
        <f>IF(Entries!D18="","-",Entries!D18)</f>
        <v>-</v>
      </c>
      <c r="P8" s="234">
        <f>Entries!E18</f>
        <v>0</v>
      </c>
      <c r="Q8" s="235">
        <f>Entries!P93</f>
        <v>0</v>
      </c>
    </row>
    <row r="9" spans="1:56" ht="18" customHeight="1" x14ac:dyDescent="0.35">
      <c r="A9" s="230"/>
      <c r="B9" s="230"/>
      <c r="C9" s="230"/>
      <c r="D9" s="230"/>
      <c r="E9" s="230"/>
      <c r="J9" s="212"/>
      <c r="K9" s="239"/>
      <c r="L9" s="240"/>
      <c r="M9" s="241"/>
      <c r="N9" s="235"/>
      <c r="O9" s="233"/>
      <c r="P9" s="234"/>
      <c r="Q9" s="235">
        <f>Entries!P94</f>
        <v>0</v>
      </c>
      <c r="V9" s="237"/>
    </row>
    <row r="10" spans="1:56" ht="17.25" customHeight="1" x14ac:dyDescent="0.35">
      <c r="F10" s="211"/>
      <c r="G10" s="211"/>
      <c r="H10" s="211"/>
      <c r="I10" s="211"/>
      <c r="J10" s="212"/>
      <c r="K10" s="239"/>
      <c r="L10" s="240"/>
      <c r="M10" s="241"/>
      <c r="N10" s="235"/>
      <c r="O10" s="233">
        <f>Entries!B20</f>
        <v>0</v>
      </c>
      <c r="P10" s="234">
        <f>Entries!M20</f>
        <v>0</v>
      </c>
      <c r="Q10" s="235">
        <f>Entries!P95</f>
        <v>0</v>
      </c>
      <c r="R10" s="237">
        <f>K10</f>
        <v>0</v>
      </c>
      <c r="AA10" s="211"/>
      <c r="AB10" s="211"/>
      <c r="AC10" s="211"/>
      <c r="AD10" s="211"/>
      <c r="AE10" s="211"/>
      <c r="AF10" s="211"/>
      <c r="AG10" s="211"/>
      <c r="AH10" s="211"/>
      <c r="AI10" s="211"/>
      <c r="AJ10" s="211"/>
      <c r="AK10" s="211"/>
      <c r="AL10" s="211"/>
      <c r="AM10" s="211"/>
      <c r="AN10" s="211"/>
      <c r="AO10" s="211"/>
    </row>
    <row r="11" spans="1:56" ht="6" customHeight="1" x14ac:dyDescent="0.3">
      <c r="F11" s="211"/>
      <c r="G11" s="211"/>
      <c r="H11" s="211"/>
      <c r="I11" s="211"/>
      <c r="J11" s="212"/>
      <c r="L11" s="213" t="s">
        <v>4</v>
      </c>
      <c r="M11" s="214">
        <v>0</v>
      </c>
      <c r="N11" s="215">
        <v>0</v>
      </c>
      <c r="O11" s="213" t="s">
        <v>4</v>
      </c>
      <c r="P11" s="214">
        <v>0</v>
      </c>
      <c r="Q11" s="215">
        <v>0</v>
      </c>
      <c r="R11" s="211"/>
      <c r="AA11" s="211"/>
      <c r="AB11" s="211"/>
      <c r="AC11" s="211"/>
      <c r="AD11" s="211"/>
      <c r="AE11" s="211"/>
      <c r="AF11" s="211"/>
      <c r="AG11" s="211"/>
      <c r="AH11" s="211"/>
      <c r="AI11" s="211"/>
      <c r="AJ11" s="211"/>
      <c r="AK11" s="211"/>
      <c r="AL11" s="211"/>
      <c r="AM11" s="211"/>
      <c r="AN11" s="211"/>
      <c r="AO11" s="211"/>
    </row>
    <row r="12" spans="1:56" s="218" customFormat="1" ht="23.25" customHeight="1" x14ac:dyDescent="0.35">
      <c r="J12" s="216"/>
      <c r="K12" s="217"/>
      <c r="L12" s="216"/>
      <c r="M12" s="217"/>
      <c r="N12" s="217"/>
      <c r="O12" s="217"/>
      <c r="P12" s="217"/>
      <c r="Q12" s="217"/>
    </row>
    <row r="13" spans="1:56" s="218" customFormat="1" ht="23.25" customHeight="1" x14ac:dyDescent="0.3">
      <c r="J13" s="216"/>
      <c r="K13" s="217"/>
      <c r="L13" s="216"/>
      <c r="M13" s="217"/>
      <c r="N13" s="217"/>
      <c r="O13" s="217"/>
      <c r="P13" s="217"/>
      <c r="Q13" s="217"/>
      <c r="V13" s="222" t="s">
        <v>79</v>
      </c>
    </row>
    <row r="14" spans="1:56" s="218" customFormat="1" ht="23.25" customHeight="1" x14ac:dyDescent="0.3">
      <c r="J14" s="470" t="s">
        <v>105</v>
      </c>
      <c r="K14" s="470"/>
      <c r="L14" s="490" t="s">
        <v>104</v>
      </c>
      <c r="M14" s="490"/>
      <c r="N14" s="489" t="s">
        <v>90</v>
      </c>
      <c r="O14" s="489"/>
      <c r="P14" s="217"/>
      <c r="Q14" s="217"/>
      <c r="V14" s="222" t="s">
        <v>78</v>
      </c>
    </row>
    <row r="15" spans="1:56" ht="44.25" customHeight="1" x14ac:dyDescent="0.3">
      <c r="J15" s="470"/>
      <c r="K15" s="470"/>
      <c r="L15" s="486" t="str">
        <f>Entries!D24</f>
        <v>Washing Plant</v>
      </c>
      <c r="M15" s="486"/>
      <c r="N15" s="486" t="str">
        <f>Entries!E24</f>
        <v>Washing Plant with heat regeneration, eff. pumps</v>
      </c>
      <c r="O15" s="486"/>
      <c r="P15" s="368"/>
      <c r="Q15" s="368"/>
      <c r="V15" s="222" t="s">
        <v>77</v>
      </c>
      <c r="AD15" s="220"/>
    </row>
    <row r="16" spans="1:56" ht="14.25" customHeight="1" x14ac:dyDescent="0.3">
      <c r="J16" s="474" t="s">
        <v>1</v>
      </c>
      <c r="K16" s="474"/>
      <c r="L16" s="242"/>
      <c r="M16" s="242"/>
      <c r="N16" s="242"/>
      <c r="O16" s="242"/>
      <c r="P16" s="242"/>
      <c r="Q16" s="242"/>
      <c r="AD16" s="219"/>
      <c r="AS16" s="361"/>
      <c r="AX16" s="361"/>
      <c r="AY16" s="361"/>
      <c r="AZ16" s="361"/>
      <c r="BB16" s="361"/>
      <c r="BC16" s="361"/>
      <c r="BD16" s="361"/>
    </row>
    <row r="17" spans="10:56" ht="14.25" customHeight="1" x14ac:dyDescent="0.35">
      <c r="J17" s="464" t="s">
        <v>44</v>
      </c>
      <c r="K17" s="464"/>
      <c r="L17" s="485">
        <f>Entries!D48</f>
        <v>8000</v>
      </c>
      <c r="M17" s="485"/>
      <c r="N17" s="367">
        <f>Entries!E48</f>
        <v>8000</v>
      </c>
      <c r="O17" s="367"/>
      <c r="P17" s="243"/>
      <c r="Q17" s="243"/>
      <c r="AD17" s="220"/>
      <c r="AH17" s="228"/>
      <c r="AS17" s="361"/>
      <c r="AX17" s="361"/>
      <c r="AY17" s="361"/>
      <c r="AZ17" s="361"/>
      <c r="BB17" s="361"/>
      <c r="BC17" s="361"/>
      <c r="BD17" s="361"/>
    </row>
    <row r="18" spans="10:56" ht="14.25" customHeight="1" x14ac:dyDescent="0.35">
      <c r="J18" s="464" t="s">
        <v>45</v>
      </c>
      <c r="K18" s="464"/>
      <c r="L18" s="487">
        <f>Entries!D50</f>
        <v>160000</v>
      </c>
      <c r="M18" s="487"/>
      <c r="N18" s="487">
        <f>Entries!E50</f>
        <v>160000</v>
      </c>
      <c r="O18" s="487"/>
      <c r="P18" s="369"/>
      <c r="Q18" s="369"/>
      <c r="AH18" s="225"/>
      <c r="AS18" s="361"/>
      <c r="AX18" s="361"/>
      <c r="AY18" s="361"/>
      <c r="AZ18" s="361"/>
      <c r="BB18" s="361"/>
      <c r="BC18" s="361"/>
      <c r="BD18" s="361"/>
    </row>
    <row r="19" spans="10:56" ht="14.25" customHeight="1" x14ac:dyDescent="0.3">
      <c r="J19" s="474" t="s">
        <v>2</v>
      </c>
      <c r="K19" s="474"/>
      <c r="L19" s="242"/>
      <c r="M19" s="242"/>
      <c r="N19" s="242"/>
      <c r="O19" s="242"/>
      <c r="P19" s="242"/>
      <c r="Q19" s="242"/>
      <c r="AH19" s="225"/>
      <c r="AS19" s="361"/>
      <c r="AX19" s="361"/>
      <c r="AY19" s="361"/>
      <c r="AZ19" s="361"/>
      <c r="BB19" s="361"/>
      <c r="BC19" s="361"/>
      <c r="BD19" s="361"/>
    </row>
    <row r="20" spans="10:56" ht="14.25" customHeight="1" x14ac:dyDescent="0.35">
      <c r="J20" s="464" t="s">
        <v>23</v>
      </c>
      <c r="K20" s="464"/>
      <c r="L20" s="472">
        <f>Entries!D27</f>
        <v>0</v>
      </c>
      <c r="M20" s="472"/>
      <c r="N20" s="472">
        <f>Entries!E27</f>
        <v>230000</v>
      </c>
      <c r="O20" s="472"/>
      <c r="P20" s="242"/>
      <c r="Q20" s="242"/>
      <c r="V20" s="222" t="str">
        <f>IF('!'!J3='!'!V13,'!'!X20,IF('!'!J3='!'!V14,'!'!X20,'!'!X21))</f>
        <v>Washing Plant with heat regeneration, eff. pumps</v>
      </c>
      <c r="W20" s="222"/>
      <c r="X20" s="488" t="str">
        <f>Entries!E24</f>
        <v>Washing Plant with heat regeneration, eff. pumps</v>
      </c>
      <c r="Y20" s="488"/>
      <c r="Z20" s="488"/>
      <c r="AH20" s="225"/>
      <c r="AS20" s="361"/>
      <c r="AX20" s="361"/>
      <c r="AY20" s="361"/>
      <c r="AZ20" s="361"/>
      <c r="BB20" s="361"/>
      <c r="BC20" s="361"/>
      <c r="BD20" s="361"/>
    </row>
    <row r="21" spans="10:56" ht="14.25" hidden="1" customHeight="1" thickTop="1" thickBot="1" x14ac:dyDescent="0.35">
      <c r="J21" s="464"/>
      <c r="K21" s="464"/>
      <c r="L21" s="478"/>
      <c r="M21" s="478"/>
      <c r="N21" s="244"/>
      <c r="O21" s="244"/>
      <c r="P21" s="478"/>
      <c r="Q21" s="478"/>
      <c r="V21" s="222" t="str">
        <f>IF('!'!J3='!'!V13,'!'!X21,"Kosten")</f>
        <v>Washing Plant</v>
      </c>
      <c r="W21" s="222"/>
      <c r="X21" s="488" t="str">
        <f>Entries!D24</f>
        <v>Washing Plant</v>
      </c>
      <c r="Y21" s="488"/>
      <c r="Z21" s="488"/>
      <c r="AH21" s="228"/>
      <c r="AX21" s="361"/>
      <c r="AY21" s="361"/>
      <c r="AZ21" s="361"/>
      <c r="BB21" s="361"/>
      <c r="BC21" s="361"/>
      <c r="BD21" s="361"/>
    </row>
    <row r="22" spans="10:56" ht="14.25" hidden="1" customHeight="1" thickBot="1" x14ac:dyDescent="0.4">
      <c r="J22" s="464"/>
      <c r="K22" s="464"/>
      <c r="L22" s="245"/>
      <c r="M22" s="246"/>
      <c r="N22" s="245"/>
      <c r="O22" s="246"/>
      <c r="P22" s="242"/>
      <c r="Q22" s="242"/>
      <c r="W22" s="247"/>
      <c r="X22" s="222"/>
      <c r="AH22" s="225"/>
      <c r="AS22" s="361"/>
      <c r="AX22" s="361"/>
      <c r="AY22" s="361"/>
      <c r="AZ22" s="361"/>
      <c r="BB22" s="361"/>
      <c r="BC22" s="361"/>
      <c r="BD22" s="361"/>
    </row>
    <row r="23" spans="10:56" ht="14.25" hidden="1" customHeight="1" thickBot="1" x14ac:dyDescent="0.35">
      <c r="J23" s="464"/>
      <c r="K23" s="464"/>
      <c r="L23" s="245"/>
      <c r="M23" s="246"/>
      <c r="N23" s="245"/>
      <c r="O23" s="246"/>
      <c r="P23" s="242"/>
      <c r="Q23" s="242"/>
      <c r="AH23" s="370" t="s">
        <v>50</v>
      </c>
      <c r="AX23" s="361"/>
      <c r="AY23" s="361"/>
      <c r="AZ23" s="361"/>
      <c r="BB23" s="361"/>
      <c r="BC23" s="361"/>
      <c r="BD23" s="361"/>
    </row>
    <row r="24" spans="10:56" ht="14.25" hidden="1" customHeight="1" thickBot="1" x14ac:dyDescent="0.35">
      <c r="J24" s="464"/>
      <c r="K24" s="464"/>
      <c r="L24" s="245"/>
      <c r="M24" s="246"/>
      <c r="N24" s="245"/>
      <c r="O24" s="246"/>
      <c r="P24" s="242"/>
      <c r="Q24" s="242"/>
      <c r="AH24" s="248" t="s">
        <v>76</v>
      </c>
      <c r="AS24" s="361"/>
      <c r="AX24" s="361"/>
      <c r="AY24" s="361"/>
      <c r="AZ24" s="361"/>
      <c r="BB24" s="361"/>
      <c r="BC24" s="361"/>
      <c r="BD24" s="361"/>
    </row>
    <row r="25" spans="10:56" ht="14.25" customHeight="1" x14ac:dyDescent="0.3">
      <c r="J25" s="474" t="s">
        <v>3</v>
      </c>
      <c r="K25" s="474"/>
      <c r="L25" s="242"/>
      <c r="M25" s="242"/>
      <c r="N25" s="242"/>
      <c r="O25" s="242"/>
      <c r="P25" s="242"/>
      <c r="Q25" s="242"/>
      <c r="AH25" s="248"/>
      <c r="AP25" s="221"/>
      <c r="AQ25" s="361"/>
      <c r="AR25" s="361"/>
      <c r="AS25" s="361"/>
      <c r="AX25" s="361"/>
      <c r="AY25" s="361"/>
      <c r="AZ25" s="361"/>
      <c r="BB25" s="361"/>
      <c r="BC25" s="361"/>
      <c r="BD25" s="361"/>
    </row>
    <row r="26" spans="10:56" ht="14.25" customHeight="1" x14ac:dyDescent="0.3">
      <c r="J26" s="464" t="s">
        <v>16</v>
      </c>
      <c r="K26" s="464"/>
      <c r="L26" s="494">
        <f>Entries!D40</f>
        <v>50</v>
      </c>
      <c r="M26" s="494"/>
      <c r="N26" s="372">
        <f>Entries!E40</f>
        <v>50</v>
      </c>
      <c r="O26" s="372"/>
      <c r="P26" s="242"/>
      <c r="Q26" s="242"/>
      <c r="AH26" s="228"/>
      <c r="AP26" s="221"/>
      <c r="AQ26" s="361"/>
      <c r="AR26" s="361"/>
      <c r="AS26" s="361"/>
      <c r="AX26" s="361"/>
      <c r="AY26" s="361"/>
      <c r="AZ26" s="361"/>
      <c r="BB26" s="361"/>
      <c r="BC26" s="361"/>
      <c r="BD26" s="361"/>
    </row>
    <row r="27" spans="10:56" ht="14.25" hidden="1" customHeight="1" thickBot="1" x14ac:dyDescent="0.35">
      <c r="J27" s="475"/>
      <c r="K27" s="475"/>
      <c r="L27" s="245"/>
      <c r="M27" s="246"/>
      <c r="N27" s="245"/>
      <c r="O27" s="246"/>
      <c r="P27" s="242"/>
      <c r="Q27" s="242"/>
      <c r="AH27" s="249" t="str">
        <f>Entries!D16</f>
        <v>Electricity</v>
      </c>
      <c r="AP27" s="361"/>
      <c r="AQ27" s="361"/>
      <c r="AR27" s="361"/>
      <c r="AS27" s="361"/>
      <c r="AX27" s="361"/>
      <c r="AY27" s="361"/>
      <c r="AZ27" s="361"/>
      <c r="BB27" s="361"/>
      <c r="BC27" s="361"/>
      <c r="BD27" s="361"/>
    </row>
    <row r="28" spans="10:56" ht="14.25" hidden="1" customHeight="1" thickBot="1" x14ac:dyDescent="0.35">
      <c r="J28" s="475"/>
      <c r="K28" s="475"/>
      <c r="L28" s="245"/>
      <c r="M28" s="246"/>
      <c r="N28" s="245"/>
      <c r="O28" s="246"/>
      <c r="P28" s="242"/>
      <c r="Q28" s="242"/>
      <c r="AH28" s="249" t="str">
        <f>Entries!D17</f>
        <v>Gas</v>
      </c>
    </row>
    <row r="29" spans="10:56" ht="14.25" hidden="1" customHeight="1" thickBot="1" x14ac:dyDescent="0.35">
      <c r="J29" s="475"/>
      <c r="K29" s="475"/>
      <c r="L29" s="245"/>
      <c r="M29" s="246"/>
      <c r="N29" s="245"/>
      <c r="O29" s="246"/>
      <c r="P29" s="242"/>
      <c r="Q29" s="242"/>
      <c r="AH29" s="249">
        <f>Entries!D18</f>
        <v>0</v>
      </c>
    </row>
    <row r="30" spans="10:56" ht="14.5" x14ac:dyDescent="0.35">
      <c r="J30" s="474" t="s">
        <v>0</v>
      </c>
      <c r="K30" s="474"/>
      <c r="L30" s="242"/>
      <c r="M30" s="242"/>
      <c r="N30" s="242"/>
      <c r="O30" s="242"/>
      <c r="P30" s="242"/>
      <c r="Q30" s="242"/>
      <c r="V30" s="250" t="s">
        <v>98</v>
      </c>
      <c r="W30" s="251"/>
      <c r="X30" s="222"/>
      <c r="AH30" s="249" t="str">
        <f>AH27</f>
        <v>Electricity</v>
      </c>
      <c r="AT30" s="221"/>
      <c r="AU30" s="361"/>
      <c r="AV30" s="361"/>
      <c r="AW30" s="361"/>
    </row>
    <row r="31" spans="10:56" ht="14.5" x14ac:dyDescent="0.35">
      <c r="J31" s="464" t="s">
        <v>139</v>
      </c>
      <c r="K31" s="464"/>
      <c r="L31" s="252">
        <f>Entries!D32</f>
        <v>0</v>
      </c>
      <c r="M31" s="246" t="str">
        <f>IF(Entries!D16="","-",Entries!D16)</f>
        <v>Electricity</v>
      </c>
      <c r="N31" s="252">
        <f>Entries!E32</f>
        <v>0</v>
      </c>
      <c r="O31" s="246" t="str">
        <f t="shared" ref="O31:O36" si="0">M31</f>
        <v>Electricity</v>
      </c>
      <c r="P31" s="242"/>
      <c r="Q31" s="242"/>
      <c r="V31" s="251"/>
      <c r="W31" s="251" t="str">
        <f>'Translations (internal)'!E63</f>
        <v>no pay back</v>
      </c>
      <c r="AB31" s="222"/>
      <c r="AC31" s="222"/>
      <c r="AD31" s="222"/>
      <c r="AE31" s="222"/>
      <c r="AF31" s="222"/>
      <c r="AG31" s="222"/>
      <c r="AH31" s="222"/>
      <c r="AI31" s="222"/>
      <c r="AT31" s="221"/>
      <c r="AU31" s="361"/>
      <c r="AV31" s="361"/>
      <c r="AW31" s="361"/>
    </row>
    <row r="32" spans="10:56" ht="15" customHeight="1" x14ac:dyDescent="0.35">
      <c r="J32" s="464"/>
      <c r="K32" s="464"/>
      <c r="L32" s="252">
        <f>Entries!D33</f>
        <v>0</v>
      </c>
      <c r="M32" s="246" t="str">
        <f>IF(Entries!D17="","-",Entries!D17)</f>
        <v>Gas</v>
      </c>
      <c r="N32" s="252">
        <f>Entries!E33</f>
        <v>0</v>
      </c>
      <c r="O32" s="246" t="str">
        <f t="shared" si="0"/>
        <v>Gas</v>
      </c>
      <c r="P32" s="242"/>
      <c r="Q32" s="242"/>
      <c r="V32" s="251"/>
      <c r="W32" s="251" t="str">
        <f>'Translations (internal)'!E64</f>
        <v>IRR is negative</v>
      </c>
      <c r="AB32" s="222"/>
      <c r="AI32" s="222"/>
      <c r="AT32" s="221"/>
      <c r="AU32" s="361"/>
      <c r="AV32" s="361"/>
      <c r="AW32" s="361"/>
    </row>
    <row r="33" spans="10:49" ht="14.5" x14ac:dyDescent="0.35">
      <c r="J33" s="464"/>
      <c r="K33" s="464"/>
      <c r="L33" s="252">
        <f>Entries!D34</f>
        <v>0</v>
      </c>
      <c r="M33" s="246" t="str">
        <f>IF(Entries!D18="","-",Entries!D18)</f>
        <v>-</v>
      </c>
      <c r="N33" s="252">
        <f>Entries!E34</f>
        <v>0</v>
      </c>
      <c r="O33" s="246" t="str">
        <f t="shared" si="0"/>
        <v>-</v>
      </c>
      <c r="P33" s="242"/>
      <c r="Q33" s="242"/>
      <c r="V33" s="251"/>
      <c r="W33" s="251" t="str">
        <f>CONCATENATE(" ",'Translations (internal)'!E52," ")</f>
        <v xml:space="preserve"> Discounted </v>
      </c>
      <c r="AB33" s="223"/>
      <c r="AI33" s="223"/>
      <c r="AT33" s="221"/>
      <c r="AU33" s="361"/>
      <c r="AV33" s="361"/>
      <c r="AW33" s="361"/>
    </row>
    <row r="34" spans="10:49" ht="21.75" customHeight="1" x14ac:dyDescent="0.35">
      <c r="J34" s="464" t="s">
        <v>140</v>
      </c>
      <c r="K34" s="464"/>
      <c r="L34" s="253">
        <f>Entries!D35</f>
        <v>5000000</v>
      </c>
      <c r="M34" s="246" t="str">
        <f>M31</f>
        <v>Electricity</v>
      </c>
      <c r="N34" s="252">
        <f>Entries!E35</f>
        <v>4945000</v>
      </c>
      <c r="O34" s="246" t="str">
        <f t="shared" si="0"/>
        <v>Electricity</v>
      </c>
      <c r="P34" s="242"/>
      <c r="Q34" s="242"/>
      <c r="AB34" s="223"/>
      <c r="AC34" s="223"/>
      <c r="AD34" s="223"/>
      <c r="AE34" s="223"/>
      <c r="AF34" s="223"/>
      <c r="AG34" s="223"/>
      <c r="AH34" s="223"/>
      <c r="AI34" s="223"/>
      <c r="AT34" s="221"/>
      <c r="AU34" s="361"/>
      <c r="AV34" s="361"/>
      <c r="AW34" s="361"/>
    </row>
    <row r="35" spans="10:49" ht="14.25" customHeight="1" x14ac:dyDescent="0.35">
      <c r="J35" s="464"/>
      <c r="K35" s="464"/>
      <c r="L35" s="253">
        <f>Entries!D36</f>
        <v>3500000</v>
      </c>
      <c r="M35" s="246" t="str">
        <f>M32</f>
        <v>Gas</v>
      </c>
      <c r="N35" s="252">
        <f>Entries!E36</f>
        <v>2485000</v>
      </c>
      <c r="O35" s="246" t="str">
        <f t="shared" si="0"/>
        <v>Gas</v>
      </c>
      <c r="P35" s="242"/>
      <c r="Q35" s="242"/>
      <c r="AH35" s="225"/>
      <c r="AT35" s="221"/>
      <c r="AU35" s="361"/>
      <c r="AV35" s="361"/>
      <c r="AW35" s="361"/>
    </row>
    <row r="36" spans="10:49" ht="21" customHeight="1" x14ac:dyDescent="0.35">
      <c r="J36" s="464"/>
      <c r="K36" s="464"/>
      <c r="L36" s="253"/>
      <c r="M36" s="246" t="str">
        <f>M33</f>
        <v>-</v>
      </c>
      <c r="N36" s="252"/>
      <c r="O36" s="246" t="str">
        <f t="shared" si="0"/>
        <v>-</v>
      </c>
      <c r="P36" s="242"/>
      <c r="Q36" s="242"/>
      <c r="AH36" s="370" t="s">
        <v>50</v>
      </c>
      <c r="AT36" s="221"/>
      <c r="AU36" s="361"/>
      <c r="AV36" s="361"/>
      <c r="AW36" s="361"/>
    </row>
    <row r="37" spans="10:49" ht="14.5" x14ac:dyDescent="0.35">
      <c r="J37" s="496"/>
      <c r="K37" s="496"/>
      <c r="L37" s="493"/>
      <c r="M37" s="493"/>
      <c r="N37" s="493"/>
      <c r="O37" s="493"/>
      <c r="P37" s="371">
        <f>IF(SUM(P34:P36)=0,(P31+P32+P33)*Z$5,SUM(P34:P36))</f>
        <v>0</v>
      </c>
      <c r="Q37" s="371"/>
      <c r="V37" s="222"/>
      <c r="W37" s="222"/>
      <c r="X37" s="491" t="s">
        <v>81</v>
      </c>
      <c r="Y37" s="491"/>
      <c r="AH37" s="248"/>
    </row>
    <row r="38" spans="10:49" ht="14.25" hidden="1" customHeight="1" thickBot="1" x14ac:dyDescent="0.35">
      <c r="J38" s="464" t="s">
        <v>39</v>
      </c>
      <c r="K38" s="464"/>
      <c r="L38" s="254"/>
      <c r="M38" s="246"/>
      <c r="N38" s="254"/>
      <c r="O38" s="246"/>
      <c r="P38" s="254"/>
      <c r="Q38" s="246"/>
      <c r="V38" s="222"/>
      <c r="W38" s="222"/>
      <c r="X38" s="222"/>
      <c r="Y38" s="222"/>
      <c r="AH38" s="248"/>
      <c r="AT38" s="221"/>
      <c r="AU38" s="361"/>
      <c r="AV38" s="361"/>
      <c r="AW38" s="361"/>
    </row>
    <row r="39" spans="10:49" ht="14.25" hidden="1" customHeight="1" thickBot="1" x14ac:dyDescent="0.35">
      <c r="J39" s="464"/>
      <c r="K39" s="464"/>
      <c r="L39" s="254"/>
      <c r="M39" s="246"/>
      <c r="N39" s="254"/>
      <c r="O39" s="246"/>
      <c r="P39" s="254"/>
      <c r="Q39" s="246"/>
      <c r="V39" s="222"/>
      <c r="W39" s="222"/>
      <c r="X39" s="222" t="s">
        <v>81</v>
      </c>
      <c r="Y39" s="222"/>
      <c r="AH39" s="228"/>
      <c r="AT39" s="221"/>
      <c r="AU39" s="361"/>
      <c r="AV39" s="361"/>
      <c r="AW39" s="361"/>
    </row>
    <row r="40" spans="10:49" ht="14.25" hidden="1" customHeight="1" thickBot="1" x14ac:dyDescent="0.35">
      <c r="J40" s="464"/>
      <c r="K40" s="464"/>
      <c r="L40" s="254"/>
      <c r="M40" s="246"/>
      <c r="N40" s="254"/>
      <c r="O40" s="246"/>
      <c r="P40" s="254"/>
      <c r="Q40" s="246"/>
      <c r="V40" s="222"/>
      <c r="W40" s="222"/>
      <c r="X40" s="222" t="s">
        <v>82</v>
      </c>
      <c r="Y40" s="222"/>
      <c r="AH40" s="225"/>
      <c r="AT40" s="221"/>
      <c r="AU40" s="361"/>
      <c r="AV40" s="361"/>
      <c r="AW40" s="361"/>
    </row>
    <row r="41" spans="10:49" ht="14.25" hidden="1" customHeight="1" x14ac:dyDescent="0.3">
      <c r="J41" s="475" t="s">
        <v>40</v>
      </c>
      <c r="K41" s="475"/>
      <c r="L41" s="253"/>
      <c r="M41" s="246"/>
      <c r="N41" s="253"/>
      <c r="O41" s="246"/>
      <c r="P41" s="253"/>
      <c r="Q41" s="246"/>
      <c r="V41" s="222" t="s">
        <v>73</v>
      </c>
      <c r="W41" s="222"/>
      <c r="X41" s="222"/>
      <c r="Y41" s="222"/>
      <c r="AH41" s="370" t="s">
        <v>50</v>
      </c>
      <c r="AT41" s="221"/>
      <c r="AU41" s="361"/>
      <c r="AV41" s="361"/>
      <c r="AW41" s="361"/>
    </row>
    <row r="42" spans="10:49" ht="14.25" hidden="1" customHeight="1" x14ac:dyDescent="0.3">
      <c r="J42" s="475"/>
      <c r="K42" s="475"/>
      <c r="L42" s="253"/>
      <c r="M42" s="246"/>
      <c r="N42" s="253"/>
      <c r="O42" s="246"/>
      <c r="P42" s="253"/>
      <c r="Q42" s="246"/>
      <c r="V42" s="222" t="s">
        <v>74</v>
      </c>
      <c r="W42" s="222"/>
      <c r="AH42" s="248"/>
      <c r="AT42" s="221"/>
      <c r="AU42" s="361"/>
      <c r="AV42" s="361"/>
      <c r="AW42" s="361"/>
    </row>
    <row r="43" spans="10:49" ht="14.25" hidden="1" customHeight="1" thickBot="1" x14ac:dyDescent="0.35">
      <c r="J43" s="475"/>
      <c r="K43" s="475"/>
      <c r="L43" s="253"/>
      <c r="M43" s="246"/>
      <c r="N43" s="253"/>
      <c r="O43" s="246"/>
      <c r="P43" s="253"/>
      <c r="Q43" s="246"/>
      <c r="V43" s="222" t="str">
        <f>IF('!'!J3='!'!V13,V41,V42)</f>
        <v>Savings</v>
      </c>
      <c r="W43" s="222"/>
      <c r="AH43" s="248"/>
    </row>
    <row r="44" spans="10:49" ht="18" customHeight="1" x14ac:dyDescent="0.35">
      <c r="J44" s="496" t="s">
        <v>41</v>
      </c>
      <c r="K44" s="496"/>
      <c r="L44" s="493">
        <f>IF(SUM(L41:L43)=0,(L38+L39+L40)*V$5,SUM(L41:L43))</f>
        <v>0</v>
      </c>
      <c r="M44" s="493"/>
      <c r="N44" s="371">
        <f>IF(SUM(N41:N43)=0,(N38+N39+N40)*X$5,SUM(N41:N43))</f>
        <v>0</v>
      </c>
      <c r="O44" s="371"/>
      <c r="P44" s="493">
        <f>IF(SUM(P41:P43)=0,(P38+P39+P40)*Z$5,SUM(P41:P43))</f>
        <v>0</v>
      </c>
      <c r="Q44" s="493"/>
      <c r="V44" s="222"/>
      <c r="W44" s="222"/>
      <c r="AH44" s="225"/>
    </row>
    <row r="45" spans="10:49" ht="14.25" hidden="1" customHeight="1" x14ac:dyDescent="0.3">
      <c r="J45" s="474"/>
      <c r="K45" s="474"/>
      <c r="L45" s="242"/>
      <c r="M45" s="255"/>
      <c r="N45" s="242"/>
      <c r="O45" s="255"/>
      <c r="P45" s="242"/>
      <c r="Q45" s="255"/>
    </row>
    <row r="46" spans="10:49" ht="14.25" hidden="1" customHeight="1" x14ac:dyDescent="0.3">
      <c r="J46" s="464"/>
      <c r="K46" s="464"/>
      <c r="L46" s="478"/>
      <c r="M46" s="478"/>
      <c r="N46" s="478"/>
      <c r="O46" s="478"/>
      <c r="P46" s="363"/>
      <c r="Q46" s="363"/>
    </row>
    <row r="47" spans="10:49" ht="14.25" hidden="1" customHeight="1" x14ac:dyDescent="0.3">
      <c r="J47" s="464"/>
      <c r="K47" s="464"/>
      <c r="L47" s="245"/>
      <c r="M47" s="246"/>
      <c r="N47" s="245"/>
      <c r="O47" s="246"/>
      <c r="P47" s="245"/>
      <c r="Q47" s="246"/>
    </row>
    <row r="48" spans="10:49" ht="14.25" hidden="1" customHeight="1" x14ac:dyDescent="0.3">
      <c r="J48" s="464"/>
      <c r="K48" s="464"/>
      <c r="L48" s="245"/>
      <c r="M48" s="246"/>
      <c r="N48" s="245"/>
      <c r="O48" s="246"/>
      <c r="P48" s="245"/>
      <c r="Q48" s="246"/>
    </row>
    <row r="49" spans="6:43" ht="10.5" hidden="1" customHeight="1" thickBot="1" x14ac:dyDescent="0.35">
      <c r="J49" s="464"/>
      <c r="K49" s="464"/>
      <c r="L49" s="245"/>
      <c r="M49" s="246"/>
      <c r="N49" s="245"/>
      <c r="O49" s="246"/>
      <c r="P49" s="245"/>
      <c r="Q49" s="246"/>
    </row>
    <row r="50" spans="6:43" ht="14.25" customHeight="1" x14ac:dyDescent="0.3">
      <c r="J50" s="474" t="s">
        <v>46</v>
      </c>
      <c r="K50" s="474"/>
      <c r="P50" s="360" t="s">
        <v>29</v>
      </c>
      <c r="Q50" s="256">
        <f>IF(ISERROR(#REF!),0,#REF!)</f>
        <v>0</v>
      </c>
      <c r="AQ50" s="361"/>
    </row>
    <row r="51" spans="6:43" ht="14.25" customHeight="1" x14ac:dyDescent="0.35">
      <c r="J51" s="464" t="s">
        <v>36</v>
      </c>
      <c r="K51" s="464"/>
      <c r="L51" s="472">
        <f>Entries!D49</f>
        <v>0</v>
      </c>
      <c r="M51" s="472"/>
      <c r="N51" s="472">
        <f>Entries!E49</f>
        <v>0</v>
      </c>
      <c r="O51" s="472"/>
      <c r="P51" s="359">
        <f>8.9*X12</f>
        <v>0</v>
      </c>
      <c r="Q51" s="359"/>
    </row>
    <row r="52" spans="6:43" ht="14.25" customHeight="1" x14ac:dyDescent="0.3">
      <c r="J52" s="464"/>
      <c r="K52" s="464"/>
      <c r="L52" s="478"/>
      <c r="M52" s="478"/>
      <c r="N52" s="478"/>
      <c r="O52" s="478"/>
      <c r="P52" s="363"/>
      <c r="Q52" s="363"/>
      <c r="AL52" s="365" t="s">
        <v>24</v>
      </c>
      <c r="AM52" s="257" t="s">
        <v>80</v>
      </c>
    </row>
    <row r="53" spans="6:43" ht="14.25" customHeight="1" x14ac:dyDescent="0.3">
      <c r="J53" s="464"/>
      <c r="K53" s="464"/>
      <c r="L53" s="245"/>
      <c r="M53" s="246"/>
      <c r="N53" s="245"/>
      <c r="O53" s="246"/>
      <c r="P53" s="245"/>
      <c r="Q53" s="246"/>
      <c r="AL53" s="258" t="s">
        <v>76</v>
      </c>
      <c r="AM53" s="259">
        <v>30</v>
      </c>
    </row>
    <row r="54" spans="6:43" ht="14.25" customHeight="1" x14ac:dyDescent="0.3">
      <c r="J54" s="464"/>
      <c r="K54" s="464"/>
      <c r="L54" s="245"/>
      <c r="M54" s="246"/>
      <c r="N54" s="245"/>
      <c r="O54" s="246"/>
      <c r="P54" s="245"/>
      <c r="Q54" s="246"/>
      <c r="AL54" s="258"/>
      <c r="AM54" s="259"/>
    </row>
    <row r="55" spans="6:43" ht="14.25" customHeight="1" x14ac:dyDescent="0.3">
      <c r="J55" s="464"/>
      <c r="K55" s="464"/>
      <c r="L55" s="245"/>
      <c r="M55" s="246"/>
      <c r="N55" s="245"/>
      <c r="O55" s="246"/>
      <c r="P55" s="245"/>
      <c r="Q55" s="246"/>
      <c r="AL55" s="258"/>
      <c r="AM55" s="259"/>
    </row>
    <row r="56" spans="6:43" ht="14.25" customHeight="1" x14ac:dyDescent="0.3">
      <c r="L56" s="224"/>
      <c r="M56" s="224"/>
      <c r="N56" s="224"/>
    </row>
    <row r="57" spans="6:43" ht="19.5" customHeight="1" x14ac:dyDescent="0.3">
      <c r="J57" s="210" t="s">
        <v>48</v>
      </c>
      <c r="L57" s="224"/>
      <c r="M57" s="224"/>
      <c r="N57" s="224"/>
    </row>
    <row r="58" spans="6:43" ht="30" customHeight="1" x14ac:dyDescent="0.45">
      <c r="J58" s="470" t="s">
        <v>141</v>
      </c>
      <c r="K58" s="470"/>
      <c r="L58" s="260"/>
      <c r="M58" s="260"/>
      <c r="N58" s="473"/>
      <c r="O58" s="473"/>
      <c r="T58" s="495" t="str">
        <f>V20</f>
        <v>Washing Plant with heat regeneration, eff. pumps</v>
      </c>
      <c r="U58" s="495"/>
    </row>
    <row r="59" spans="6:43" ht="30" customHeight="1" x14ac:dyDescent="0.3">
      <c r="J59" s="471" t="s">
        <v>142</v>
      </c>
      <c r="K59" s="471"/>
      <c r="L59" s="466">
        <f>Results!H9</f>
        <v>10</v>
      </c>
      <c r="M59" s="466"/>
      <c r="N59" s="473"/>
      <c r="O59" s="473"/>
      <c r="R59" s="261"/>
      <c r="T59" s="373" t="str">
        <f>V21</f>
        <v>Washing Plant</v>
      </c>
      <c r="U59" s="373"/>
      <c r="AH59" s="261"/>
      <c r="AI59" s="261"/>
      <c r="AP59" s="361"/>
    </row>
    <row r="60" spans="6:43" ht="17.25" customHeight="1" x14ac:dyDescent="0.3">
      <c r="J60" s="470" t="s">
        <v>47</v>
      </c>
      <c r="K60" s="470"/>
      <c r="L60" s="262"/>
      <c r="M60" s="263"/>
      <c r="N60" s="262"/>
      <c r="O60" s="263"/>
      <c r="P60" s="262"/>
      <c r="Q60" s="263"/>
    </row>
    <row r="61" spans="6:43" ht="17.25" customHeight="1" x14ac:dyDescent="0.45">
      <c r="F61" s="482"/>
      <c r="G61" s="483"/>
      <c r="H61" s="483"/>
      <c r="J61" s="464" t="s">
        <v>106</v>
      </c>
      <c r="K61" s="464"/>
      <c r="L61" s="264">
        <f>IF(ISERROR(VLOOKUP(1,$I$69:$M$169,2,FALSE)-(VLOOKUP(1,$I$69:$M$169,3,FALSE)/(VLOOKUP(1,$I$69:$M$169,3,FALSE)-VLOOKUP(1,$H$69:$M$169,4,FALSE)))),'!'!W31,VLOOKUP(1,$I$69:$M$169,2,FALSE)-(VLOOKUP(1,$I$69:$M$169,3,FALSE)/(VLOOKUP(1,$I$69:$M$169,3,FALSE)-VLOOKUP(1,$H$69:$M$169,4,FALSE))))</f>
        <v>3.910123122267207</v>
      </c>
      <c r="M61" s="264"/>
      <c r="N61" s="265"/>
      <c r="O61" s="265"/>
      <c r="P61" s="265"/>
      <c r="Q61" s="265"/>
      <c r="T61" s="266"/>
      <c r="AP61" s="361"/>
    </row>
    <row r="62" spans="6:43" ht="17.25" customHeight="1" x14ac:dyDescent="0.45">
      <c r="F62" s="482"/>
      <c r="G62" s="483"/>
      <c r="H62" s="483"/>
      <c r="J62" s="464" t="s">
        <v>107</v>
      </c>
      <c r="K62" s="464"/>
      <c r="L62" s="364">
        <f>SUM(L69:L169)</f>
        <v>324674.62413545779</v>
      </c>
      <c r="M62" s="364"/>
      <c r="N62" s="267"/>
      <c r="O62" s="267"/>
      <c r="P62" s="267"/>
      <c r="Q62" s="267"/>
      <c r="AM62" s="268"/>
      <c r="AP62" s="361"/>
    </row>
    <row r="63" spans="6:43" ht="17.25" customHeight="1" x14ac:dyDescent="0.45">
      <c r="F63" s="482"/>
      <c r="G63" s="483"/>
      <c r="H63" s="483"/>
      <c r="J63" s="464" t="s">
        <v>108</v>
      </c>
      <c r="K63" s="464"/>
      <c r="L63" s="479">
        <f>L62/L59</f>
        <v>32467.462413545778</v>
      </c>
      <c r="M63" s="479"/>
      <c r="N63" s="479"/>
      <c r="O63" s="479"/>
      <c r="P63" s="479"/>
      <c r="Q63" s="479"/>
      <c r="AM63" s="268"/>
      <c r="AP63" s="361"/>
    </row>
    <row r="64" spans="6:43" ht="17.25" customHeight="1" x14ac:dyDescent="0.45">
      <c r="F64" s="482"/>
      <c r="G64" s="483"/>
      <c r="H64" s="483"/>
      <c r="J64" s="464" t="s">
        <v>109</v>
      </c>
      <c r="K64" s="464"/>
      <c r="L64" s="480">
        <f>IF(OR(L65="kein zusätzliches Investment",L65="geringeres Investment gegenüber Alternative"),"",IF(SUM(S69:S169)&gt;0,IRR(S69:S169),'!'!W32))</f>
        <v>0.23628919335028153</v>
      </c>
      <c r="M64" s="480"/>
      <c r="N64" s="481"/>
      <c r="O64" s="481"/>
      <c r="P64" s="481"/>
      <c r="Q64" s="481"/>
      <c r="AP64" s="361"/>
    </row>
    <row r="65" spans="1:41" ht="17.25" customHeight="1" x14ac:dyDescent="0.45">
      <c r="F65" s="482"/>
      <c r="G65" s="483"/>
      <c r="H65" s="483"/>
      <c r="J65" s="464" t="s">
        <v>110</v>
      </c>
      <c r="K65" s="464"/>
      <c r="L65" s="269">
        <f>IF(M69=0,"no further invest",IF(M69&gt;0,"invest lower than measure",IF(SUM(L69:L169)/(L69*(-1))&lt;0,"ROI negativ",SUM(L69:L169)/(L69*(-1)))))</f>
        <v>1.411628800588947</v>
      </c>
      <c r="M65" s="270"/>
      <c r="N65" s="271"/>
      <c r="O65" s="271"/>
      <c r="P65" s="271"/>
      <c r="Q65" s="271"/>
      <c r="AO65" s="272"/>
    </row>
    <row r="66" spans="1:41" ht="17.25" customHeight="1" x14ac:dyDescent="0.3">
      <c r="J66" s="470" t="s">
        <v>42</v>
      </c>
      <c r="K66" s="470"/>
      <c r="L66" s="262"/>
      <c r="M66" s="263">
        <f>M61</f>
        <v>0</v>
      </c>
      <c r="N66" s="262"/>
      <c r="O66" s="263">
        <f>O61</f>
        <v>0</v>
      </c>
      <c r="P66" s="262"/>
      <c r="Q66" s="263">
        <f>Q61</f>
        <v>0</v>
      </c>
      <c r="AO66" s="272"/>
    </row>
    <row r="67" spans="1:41" ht="17.25" customHeight="1" x14ac:dyDescent="0.35">
      <c r="J67" s="465" t="str">
        <f>Results!D27</f>
        <v>Dates</v>
      </c>
      <c r="K67" s="465" t="str">
        <f>Results!H27</f>
        <v>Cummulated Sum of Discounted Savings</v>
      </c>
      <c r="L67" s="465" t="str">
        <f>Results!I27</f>
        <v>All Discounted Savings for the year</v>
      </c>
      <c r="M67" s="465" t="str">
        <f>Results!L27</f>
        <v>Discounted Savings regarding Reinvestments</v>
      </c>
      <c r="N67" s="465" t="str">
        <f>Results!K27</f>
        <v>Discounted further Savings</v>
      </c>
      <c r="O67" s="465" t="str">
        <f>Results!J27</f>
        <v>Discounted Savings regarding Energy Consumtion</v>
      </c>
      <c r="P67" s="465" t="s">
        <v>37</v>
      </c>
      <c r="Q67" s="355" t="s">
        <v>38</v>
      </c>
      <c r="S67" s="273" t="s">
        <v>111</v>
      </c>
      <c r="V67" s="222"/>
      <c r="W67" s="222"/>
      <c r="Z67" s="222"/>
      <c r="AA67" s="222"/>
      <c r="AB67" s="222"/>
      <c r="AC67" s="222"/>
      <c r="AD67" s="222"/>
      <c r="AM67" s="274"/>
    </row>
    <row r="68" spans="1:41" ht="63" customHeight="1" x14ac:dyDescent="0.3">
      <c r="I68" s="210" t="s">
        <v>143</v>
      </c>
      <c r="J68" s="465"/>
      <c r="K68" s="465"/>
      <c r="L68" s="465"/>
      <c r="M68" s="465"/>
      <c r="N68" s="465"/>
      <c r="O68" s="465"/>
      <c r="P68" s="465"/>
      <c r="Q68" s="355"/>
      <c r="V68" s="222"/>
      <c r="W68" s="222"/>
      <c r="X68" s="222"/>
      <c r="Y68" s="222"/>
      <c r="Z68" s="222"/>
      <c r="AM68" s="274"/>
    </row>
    <row r="69" spans="1:41" ht="15" customHeight="1" x14ac:dyDescent="0.3">
      <c r="H69" s="210">
        <f>IF(AND(I69=0,I70=1),1,0)</f>
        <v>0</v>
      </c>
      <c r="I69" s="210">
        <f t="shared" ref="I69:I102" si="1">IF(K69&gt;0,1,0)</f>
        <v>0</v>
      </c>
      <c r="J69" s="275" t="s">
        <v>92</v>
      </c>
      <c r="K69" s="276">
        <f>IF($T$58=$L$15,J190,IF($T$58=$N$15,S190,IF($T$58=$P$15,#REF!,0)))-IF($T$59=$L$15,J190,IF($T$59=$N$15,S190,IF($T$59=$P$15,#REF!,0)))</f>
        <v>-230000</v>
      </c>
      <c r="L69" s="276">
        <f>IF($T$58=$L$15,K190,IF($T$58=$N$15,T190,IF($T$58=$P$15,#REF!,0)))-IF($T$59=$L$15,K190,IF($T$59=$N$15,T190,IF($T$59=$P$15,#REF!,0)))</f>
        <v>-230000</v>
      </c>
      <c r="M69" s="276">
        <f>IF($T$58=$L$15,SUM(L190:L190),IF($T$58=$N$15,SUM(U190:U190),IF($T$58=$P$15,SUM(#REF!),0)))-IF($T$59=$L$15,SUM(L190:L190),IF($T$59=$N$15,SUM(U190:U190),IF($T$59=$P$15,SUM(#REF!),0)))</f>
        <v>-230000</v>
      </c>
      <c r="N69" s="465"/>
      <c r="O69" s="465"/>
      <c r="P69" s="465"/>
      <c r="Q69" s="355"/>
      <c r="R69" s="210" t="s">
        <v>143</v>
      </c>
      <c r="S69" s="277">
        <f>L69</f>
        <v>-230000</v>
      </c>
      <c r="T69" s="210" t="s">
        <v>96</v>
      </c>
      <c r="U69" s="210" t="s">
        <v>95</v>
      </c>
      <c r="V69" s="222"/>
      <c r="W69" s="222"/>
      <c r="X69" s="222"/>
      <c r="Y69" s="222"/>
      <c r="Z69" s="222"/>
      <c r="AI69" s="492"/>
      <c r="AJ69" s="492"/>
      <c r="AK69" s="222"/>
      <c r="AL69" s="222"/>
      <c r="AM69" s="222"/>
      <c r="AN69" s="222"/>
      <c r="AO69" s="222"/>
    </row>
    <row r="70" spans="1:41" ht="15" customHeight="1" x14ac:dyDescent="0.3">
      <c r="H70" s="210">
        <f>IF(AND(I70=0,I71=1),1,0)</f>
        <v>0</v>
      </c>
      <c r="I70" s="210">
        <f t="shared" si="1"/>
        <v>0</v>
      </c>
      <c r="J70" s="278">
        <f t="shared" ref="J70:J94" si="2">IF(K70=0,0,I191)</f>
        <v>1</v>
      </c>
      <c r="K70" s="276">
        <f>IF($T$58=$L$15,J191,S191)-IF($T$59=$L$15,J191,S191)</f>
        <v>-169460.78431372554</v>
      </c>
      <c r="L70" s="276">
        <f>IF($T$58=$L$15,K191,T191)-IF($T$59=$L$15,K191,T191)</f>
        <v>60539.21568627446</v>
      </c>
      <c r="M70" s="276">
        <f>IF($T$58=$L$15,SUM(R191:R191),SUM(AA191:AA191))-IF($T$59=$L$15,SUM(R191:R191),SUM(AA191:AA191))</f>
        <v>0</v>
      </c>
      <c r="N70" s="276">
        <f>IF($T$58=$L$15,SUM(P191:P191),SUM(Y191:Y191))-IF($T$59=$L$15,SUM(P191:P191),SUM(Y191:Y191))</f>
        <v>0</v>
      </c>
      <c r="O70" s="276">
        <f>IF($T$58=$L$15,SUM(M191:O191),SUM(V191:X191))-IF($T$59=$L$15,SUM(M191:O191),SUM(V191:X191))</f>
        <v>60539.21568627446</v>
      </c>
      <c r="P70" s="276"/>
      <c r="Q70" s="276">
        <f>IF($T$58=$L$15,SUM(Q191:Q191),SUM(Z191:Z191))-IF($T$59=$L$15,SUM(Q191:Q191),SUM(Z191:Z191))</f>
        <v>0</v>
      </c>
      <c r="R70" s="221">
        <v>1</v>
      </c>
      <c r="S70" s="279">
        <f t="shared" ref="S70:S94" si="3">L70*((1+$L$6)^(J70))</f>
        <v>61749.999999999949</v>
      </c>
      <c r="T70" s="222">
        <f>IF(Results!E29="","",IF($X$37=$X$40,(1+Results!$H$11)^Results!E29,1))</f>
        <v>1</v>
      </c>
      <c r="U70" s="280">
        <f>IF(Results!E29="","",IF($X$37=$X$39,(1+Results!$H$11)^Results!E29,1)-1)</f>
        <v>2.0000000000000018E-2</v>
      </c>
      <c r="V70" s="222"/>
      <c r="W70" s="222"/>
      <c r="X70" s="222"/>
      <c r="Y70" s="222"/>
      <c r="Z70" s="222"/>
      <c r="AI70" s="492"/>
      <c r="AJ70" s="492"/>
      <c r="AK70" s="222"/>
      <c r="AL70" s="222" t="s">
        <v>54</v>
      </c>
      <c r="AM70" s="222" t="s">
        <v>53</v>
      </c>
      <c r="AN70" s="222"/>
      <c r="AO70" s="222"/>
    </row>
    <row r="71" spans="1:41" ht="15" customHeight="1" x14ac:dyDescent="0.35">
      <c r="C71" s="230"/>
      <c r="D71" s="230"/>
      <c r="E71" s="230"/>
      <c r="H71" s="210">
        <f>IF(AND(I71=0,I72=1),1,0)</f>
        <v>0</v>
      </c>
      <c r="I71" s="210">
        <f t="shared" si="1"/>
        <v>0</v>
      </c>
      <c r="J71" s="278">
        <f t="shared" si="2"/>
        <v>2</v>
      </c>
      <c r="K71" s="276">
        <f t="shared" ref="K71:L71" si="4">IF($T$58=$L$15,J192,S192)-IF($T$59=$L$15,J192,S192)</f>
        <v>-110108.61207227968</v>
      </c>
      <c r="L71" s="276">
        <f t="shared" si="4"/>
        <v>59352.172241445631</v>
      </c>
      <c r="M71" s="276">
        <f t="shared" ref="M71:M94" si="5">IF($T$58=$L$15,SUM(R192:R192),SUM(AA192:AA192))-IF($T$59=$L$15,SUM(R192:R192),SUM(AA192:AA192))</f>
        <v>0</v>
      </c>
      <c r="N71" s="276">
        <f t="shared" ref="N71:N94" si="6">IF($T$58=$L$15,SUM(P192:P192),SUM(Y192:Y192))-IF($T$59=$L$15,SUM(P192:P192),SUM(Y192:Y192))</f>
        <v>0</v>
      </c>
      <c r="O71" s="276">
        <f t="shared" ref="O71:O94" si="7">IF($T$58=$L$15,SUM(M192:O192),SUM(V192:X192))-IF($T$59=$L$15,SUM(M192:O192),SUM(V192:X192))</f>
        <v>59352.172241445631</v>
      </c>
      <c r="P71" s="276"/>
      <c r="Q71" s="276">
        <f t="shared" ref="Q71:Q94" si="8">IF($T$58=$L$15,SUM(Q192:Q192),SUM(Z192:Z192))-IF($T$59=$L$15,SUM(Q192:Q192),SUM(Z192:Z192))</f>
        <v>0</v>
      </c>
      <c r="R71" s="221">
        <f>R70+1</f>
        <v>2</v>
      </c>
      <c r="S71" s="279">
        <f t="shared" si="3"/>
        <v>61750.000000000036</v>
      </c>
      <c r="T71" s="222">
        <f>IF(Results!E30="","",IF($X$37=$X$40,(1+Results!$H$11)^Results!E30,1))</f>
        <v>1</v>
      </c>
      <c r="U71" s="280">
        <f>IF(Results!E30="","",IF($X$37=$X$39,(1+Results!$H$11)^Results!E30,1)-1)</f>
        <v>4.0399999999999991E-2</v>
      </c>
      <c r="AI71" s="222"/>
      <c r="AJ71" s="222"/>
      <c r="AK71" s="222"/>
      <c r="AL71" s="222"/>
      <c r="AM71" s="222"/>
      <c r="AN71" s="222"/>
      <c r="AO71" s="222"/>
    </row>
    <row r="72" spans="1:41" ht="15" customHeight="1" x14ac:dyDescent="0.35">
      <c r="C72" s="230"/>
      <c r="D72" s="230"/>
      <c r="E72" s="230"/>
      <c r="H72" s="210">
        <f t="shared" ref="H72:H135" si="9">IF(AND(I72=0,I73=1),1,0)</f>
        <v>1</v>
      </c>
      <c r="I72" s="210">
        <f t="shared" si="1"/>
        <v>0</v>
      </c>
      <c r="J72" s="278">
        <f t="shared" si="2"/>
        <v>3</v>
      </c>
      <c r="K72" s="276">
        <f t="shared" ref="K72:L72" si="10">IF($T$58=$L$15,J193,S193)-IF($T$59=$L$15,J193,S193)</f>
        <v>-51920.207913999446</v>
      </c>
      <c r="L72" s="276">
        <f t="shared" si="10"/>
        <v>58188.404158279998</v>
      </c>
      <c r="M72" s="276">
        <f t="shared" si="5"/>
        <v>0</v>
      </c>
      <c r="N72" s="276">
        <f t="shared" si="6"/>
        <v>0</v>
      </c>
      <c r="O72" s="276">
        <f t="shared" si="7"/>
        <v>58188.404158279998</v>
      </c>
      <c r="P72" s="276"/>
      <c r="Q72" s="276">
        <f t="shared" si="8"/>
        <v>0</v>
      </c>
      <c r="R72" s="221">
        <f t="shared" ref="R72:R94" si="11">R71+1</f>
        <v>3</v>
      </c>
      <c r="S72" s="279">
        <f t="shared" si="3"/>
        <v>61749.999999999993</v>
      </c>
      <c r="T72" s="222">
        <f>IF(Results!E31="","",IF($X$37=$X$40,(1+Results!$H$11)^Results!E31,1))</f>
        <v>1</v>
      </c>
      <c r="U72" s="280">
        <f>IF(Results!E31="","",IF($X$37=$X$39,(1+Results!$H$11)^Results!E31,1)-1)</f>
        <v>6.1207999999999929E-2</v>
      </c>
      <c r="AI72" s="222"/>
      <c r="AJ72" s="222"/>
      <c r="AK72" s="222"/>
      <c r="AL72" s="281"/>
      <c r="AM72" s="222"/>
      <c r="AN72" s="222"/>
      <c r="AO72" s="222"/>
    </row>
    <row r="73" spans="1:41" ht="15" customHeight="1" x14ac:dyDescent="0.35">
      <c r="A73" s="230"/>
      <c r="B73" s="230"/>
      <c r="C73" s="230"/>
      <c r="D73" s="230"/>
      <c r="E73" s="230"/>
      <c r="H73" s="210">
        <f t="shared" si="9"/>
        <v>0</v>
      </c>
      <c r="I73" s="210">
        <f t="shared" si="1"/>
        <v>1</v>
      </c>
      <c r="J73" s="278">
        <f t="shared" si="2"/>
        <v>4</v>
      </c>
      <c r="K73" s="276">
        <f t="shared" ref="K73:L73" si="12">IF($T$58=$L$15,J194,S194)-IF($T$59=$L$15,J194,S194)</f>
        <v>5127.2471431372687</v>
      </c>
      <c r="L73" s="276">
        <f t="shared" si="12"/>
        <v>57047.45505713718</v>
      </c>
      <c r="M73" s="276">
        <f t="shared" si="5"/>
        <v>0</v>
      </c>
      <c r="N73" s="276">
        <f t="shared" si="6"/>
        <v>0</v>
      </c>
      <c r="O73" s="276">
        <f t="shared" si="7"/>
        <v>57047.45505713718</v>
      </c>
      <c r="P73" s="276"/>
      <c r="Q73" s="276">
        <f t="shared" si="8"/>
        <v>0</v>
      </c>
      <c r="R73" s="221">
        <f t="shared" si="11"/>
        <v>4</v>
      </c>
      <c r="S73" s="279">
        <f t="shared" si="3"/>
        <v>61749.99999999992</v>
      </c>
      <c r="T73" s="222">
        <f>IF(Results!E32="","",IF('!'!$X$37='!'!$X$40,(1+Results!$H$11)^Results!E32,1))</f>
        <v>1</v>
      </c>
      <c r="U73" s="280">
        <f>IF(Results!E32="","",IF('!'!$X$37='!'!$X$39,(1+Results!$H$11)^Results!E32,1)-1)</f>
        <v>8.2432159999999977E-2</v>
      </c>
      <c r="AI73" s="222"/>
      <c r="AJ73" s="225" t="s">
        <v>0</v>
      </c>
      <c r="AK73" s="378" t="str">
        <f>IF(Entries!D16="","-",Entries!D16)</f>
        <v>Electricity</v>
      </c>
      <c r="AL73" s="282" t="e">
        <f>IF(AK73='!'!$AH$30,Entries!$E$35,0)+IF(AK73='!'!#REF!,Entries!$E$36,0)</f>
        <v>#REF!</v>
      </c>
      <c r="AM73" s="282">
        <f>IF(AK73=Entries!$C$35,Entries!$D$35,0)+IF(AK73=Entries!$C$36,Entries!$D$36,0)</f>
        <v>5000000</v>
      </c>
      <c r="AN73" s="358"/>
      <c r="AO73" s="282"/>
    </row>
    <row r="74" spans="1:41" ht="15" customHeight="1" x14ac:dyDescent="0.35">
      <c r="A74" s="230"/>
      <c r="B74" s="230"/>
      <c r="C74" s="230"/>
      <c r="D74" s="230"/>
      <c r="E74" s="230"/>
      <c r="H74" s="210">
        <f t="shared" si="9"/>
        <v>0</v>
      </c>
      <c r="I74" s="210">
        <f t="shared" si="1"/>
        <v>1</v>
      </c>
      <c r="J74" s="278">
        <f t="shared" si="2"/>
        <v>5</v>
      </c>
      <c r="K74" s="276">
        <f t="shared" ref="K74:L74" si="13">IF($T$58=$L$15,J195,S195)-IF($T$59=$L$15,J195,S195)</f>
        <v>61056.124650134705</v>
      </c>
      <c r="L74" s="276">
        <f t="shared" si="13"/>
        <v>55928.877506997203</v>
      </c>
      <c r="M74" s="276">
        <f t="shared" si="5"/>
        <v>0</v>
      </c>
      <c r="N74" s="276">
        <f t="shared" si="6"/>
        <v>0</v>
      </c>
      <c r="O74" s="276">
        <f t="shared" si="7"/>
        <v>55928.877506997203</v>
      </c>
      <c r="P74" s="276"/>
      <c r="Q74" s="276">
        <f t="shared" si="8"/>
        <v>0</v>
      </c>
      <c r="R74" s="221">
        <f t="shared" si="11"/>
        <v>5</v>
      </c>
      <c r="S74" s="279">
        <f t="shared" si="3"/>
        <v>61749.999999999884</v>
      </c>
      <c r="T74" s="222">
        <f>IF(Results!E33="","",IF('!'!$X$37='!'!$X$40,(1+Results!$H$11)^Results!E33,1))</f>
        <v>1</v>
      </c>
      <c r="U74" s="283">
        <f>IF(Results!E33="","",IF('!'!$X$37='!'!$X$39,(1+Results!$H$11)^Results!E33,1)-1)</f>
        <v>0.10408080320000002</v>
      </c>
      <c r="AI74" s="222"/>
      <c r="AJ74" s="222"/>
      <c r="AK74" s="378" t="str">
        <f>IF(Entries!D17="","-",Entries!D17)</f>
        <v>Gas</v>
      </c>
      <c r="AL74" s="282" t="e">
        <f>IF(AK74='!'!$AH$30,Entries!$E$35,0)+IF(AK74='!'!#REF!,Entries!$E$36,0)</f>
        <v>#REF!</v>
      </c>
      <c r="AM74" s="282">
        <f>IF(AK74=Entries!$C$35,Entries!$D$35,0)+IF(AK74=Entries!$C$36,Entries!$D$36,0)</f>
        <v>3500000</v>
      </c>
      <c r="AN74" s="358"/>
      <c r="AO74" s="282"/>
    </row>
    <row r="75" spans="1:41" ht="15" customHeight="1" x14ac:dyDescent="0.35">
      <c r="A75" s="230"/>
      <c r="B75" s="230"/>
      <c r="C75" s="230"/>
      <c r="D75" s="230"/>
      <c r="E75" s="230"/>
      <c r="H75" s="210">
        <f t="shared" si="9"/>
        <v>0</v>
      </c>
      <c r="I75" s="210">
        <f t="shared" si="1"/>
        <v>1</v>
      </c>
      <c r="J75" s="278">
        <f t="shared" si="2"/>
        <v>6</v>
      </c>
      <c r="K75" s="276">
        <f t="shared" ref="K75:L75" si="14">IF($T$58=$L$15,J196,S196)-IF($T$59=$L$15,J196,S196)</f>
        <v>115888.35750013217</v>
      </c>
      <c r="L75" s="276">
        <f t="shared" si="14"/>
        <v>54832.232849997352</v>
      </c>
      <c r="M75" s="276">
        <f t="shared" si="5"/>
        <v>0</v>
      </c>
      <c r="N75" s="276">
        <f t="shared" si="6"/>
        <v>0</v>
      </c>
      <c r="O75" s="276">
        <f t="shared" si="7"/>
        <v>54832.232849997352</v>
      </c>
      <c r="P75" s="276"/>
      <c r="Q75" s="276">
        <f t="shared" si="8"/>
        <v>0</v>
      </c>
      <c r="R75" s="221">
        <f t="shared" si="11"/>
        <v>6</v>
      </c>
      <c r="S75" s="279">
        <f t="shared" si="3"/>
        <v>61749.999999999993</v>
      </c>
      <c r="T75" s="222">
        <f>IF(Results!E34="","",IF('!'!$X$37='!'!$X$40,(1+Results!$H$11)^Results!E34,1))</f>
        <v>1</v>
      </c>
      <c r="U75" s="283">
        <f>IF(Results!E34="","",IF('!'!$X$37='!'!$X$39,(1+Results!$H$11)^Results!E34,1)-1)</f>
        <v>0.12616241926400007</v>
      </c>
      <c r="AI75" s="222"/>
      <c r="AJ75" s="222"/>
      <c r="AK75" s="378" t="str">
        <f>IF(Entries!D18="","-",Entries!D18)</f>
        <v>-</v>
      </c>
      <c r="AL75" s="282" t="e">
        <f>IF(AK75='!'!$AH$30,Entries!$E$35,0)+IF(AK75='!'!#REF!,Entries!$E$36,0)</f>
        <v>#REF!</v>
      </c>
      <c r="AM75" s="282">
        <f>IF(AK75=Entries!$C$35,Entries!$D$35,0)+IF(AK75=Entries!$C$36,Entries!$D$36,0)</f>
        <v>0</v>
      </c>
      <c r="AN75" s="358"/>
      <c r="AO75" s="282"/>
    </row>
    <row r="76" spans="1:41" ht="15" customHeight="1" x14ac:dyDescent="0.35">
      <c r="A76" s="230"/>
      <c r="B76" s="230"/>
      <c r="C76" s="230"/>
      <c r="D76" s="230"/>
      <c r="E76" s="230"/>
      <c r="H76" s="210">
        <f t="shared" si="9"/>
        <v>0</v>
      </c>
      <c r="I76" s="210">
        <f t="shared" si="1"/>
        <v>1</v>
      </c>
      <c r="J76" s="278">
        <f t="shared" si="2"/>
        <v>7</v>
      </c>
      <c r="K76" s="276">
        <f t="shared" ref="K76:L76" si="15">IF($T$58=$L$15,J197,S197)-IF($T$59=$L$15,J197,S197)</f>
        <v>169645.44852954149</v>
      </c>
      <c r="L76" s="276">
        <f t="shared" si="15"/>
        <v>53757.091029409203</v>
      </c>
      <c r="M76" s="276">
        <f t="shared" si="5"/>
        <v>0</v>
      </c>
      <c r="N76" s="276">
        <f t="shared" si="6"/>
        <v>0</v>
      </c>
      <c r="O76" s="276">
        <f t="shared" si="7"/>
        <v>53757.091029409203</v>
      </c>
      <c r="P76" s="276"/>
      <c r="Q76" s="276">
        <f t="shared" si="8"/>
        <v>0</v>
      </c>
      <c r="R76" s="221">
        <f t="shared" si="11"/>
        <v>7</v>
      </c>
      <c r="S76" s="279">
        <f t="shared" si="3"/>
        <v>61750.000000000022</v>
      </c>
      <c r="T76" s="222">
        <f>IF(Results!E35="","",IF('!'!$X$37='!'!$X$40,(1+Results!$H$11)^Results!E35,1))</f>
        <v>1</v>
      </c>
      <c r="U76" s="283">
        <f>IF(Results!E35="","",IF('!'!$X$37='!'!$X$39,(1+Results!$H$11)^Results!E35,1)-1)</f>
        <v>0.14868566764927982</v>
      </c>
      <c r="AI76" s="222"/>
      <c r="AJ76" s="222"/>
      <c r="AK76" s="286"/>
      <c r="AL76" s="222"/>
      <c r="AM76" s="222"/>
      <c r="AN76" s="222"/>
      <c r="AO76" s="222"/>
    </row>
    <row r="77" spans="1:41" ht="15" customHeight="1" x14ac:dyDescent="0.35">
      <c r="A77" s="230"/>
      <c r="B77" s="230"/>
      <c r="C77" s="230"/>
      <c r="D77" s="230"/>
      <c r="E77" s="230"/>
      <c r="H77" s="210">
        <f t="shared" si="9"/>
        <v>0</v>
      </c>
      <c r="I77" s="210">
        <f t="shared" si="1"/>
        <v>1</v>
      </c>
      <c r="J77" s="278">
        <f t="shared" si="2"/>
        <v>8</v>
      </c>
      <c r="K77" s="276">
        <f t="shared" ref="K77:L77" si="16">IF($T$58=$L$15,J198,S198)-IF($T$59=$L$15,J198,S198)</f>
        <v>222348.47895053029</v>
      </c>
      <c r="L77" s="276">
        <f t="shared" si="16"/>
        <v>52703.03042098938</v>
      </c>
      <c r="M77" s="276">
        <f t="shared" si="5"/>
        <v>0</v>
      </c>
      <c r="N77" s="276">
        <f t="shared" si="6"/>
        <v>0</v>
      </c>
      <c r="O77" s="276">
        <f t="shared" si="7"/>
        <v>52703.03042098938</v>
      </c>
      <c r="P77" s="276"/>
      <c r="Q77" s="276">
        <f t="shared" si="8"/>
        <v>0</v>
      </c>
      <c r="R77" s="221">
        <f t="shared" si="11"/>
        <v>8</v>
      </c>
      <c r="S77" s="279">
        <f t="shared" si="3"/>
        <v>61749.999999999985</v>
      </c>
      <c r="T77" s="222">
        <f>IF(Results!E36="","",IF('!'!$X$37='!'!$X$40,(1+Results!$H$11)^Results!E36,1))</f>
        <v>1</v>
      </c>
      <c r="U77" s="283">
        <f>IF(Results!E36="","",IF('!'!$X$37='!'!$X$39,(1+Results!$H$11)^Results!E36,1)-1)</f>
        <v>0.17165938100226552</v>
      </c>
      <c r="AI77" s="222"/>
      <c r="AJ77" s="222"/>
      <c r="AK77" s="286"/>
      <c r="AL77" s="222"/>
      <c r="AM77" s="222"/>
      <c r="AN77" s="257" t="s">
        <v>91</v>
      </c>
      <c r="AO77" s="222"/>
    </row>
    <row r="78" spans="1:41" ht="15" customHeight="1" x14ac:dyDescent="0.35">
      <c r="A78" s="230"/>
      <c r="B78" s="230"/>
      <c r="C78" s="230"/>
      <c r="D78" s="230"/>
      <c r="E78" s="230"/>
      <c r="H78" s="210">
        <f t="shared" si="9"/>
        <v>0</v>
      </c>
      <c r="I78" s="210">
        <f t="shared" si="1"/>
        <v>1</v>
      </c>
      <c r="J78" s="278">
        <f t="shared" si="2"/>
        <v>9</v>
      </c>
      <c r="K78" s="276">
        <f t="shared" ref="K78:L78" si="17">IF($T$58=$L$15,J199,S199)-IF($T$59=$L$15,J199,S199)</f>
        <v>274018.11661816761</v>
      </c>
      <c r="L78" s="276">
        <f t="shared" si="17"/>
        <v>51669.637667636503</v>
      </c>
      <c r="M78" s="276">
        <f t="shared" si="5"/>
        <v>0</v>
      </c>
      <c r="N78" s="276">
        <f t="shared" si="6"/>
        <v>0</v>
      </c>
      <c r="O78" s="276">
        <f t="shared" si="7"/>
        <v>51669.637667636503</v>
      </c>
      <c r="P78" s="276"/>
      <c r="Q78" s="276">
        <f t="shared" si="8"/>
        <v>0</v>
      </c>
      <c r="R78" s="221">
        <f t="shared" si="11"/>
        <v>9</v>
      </c>
      <c r="S78" s="279">
        <f t="shared" si="3"/>
        <v>61749.999999999818</v>
      </c>
      <c r="T78" s="222">
        <f>IF(Results!E37="","",IF('!'!$X$37='!'!$X$40,(1+Results!$H$11)^Results!E37,1))</f>
        <v>1</v>
      </c>
      <c r="U78" s="283">
        <f>IF(Results!E37="","",IF('!'!$X$37='!'!$X$39,(1+Results!$H$11)^Results!E37,1)-1)</f>
        <v>0.19509256862231084</v>
      </c>
      <c r="AI78" s="222"/>
      <c r="AJ78" s="222" t="s">
        <v>61</v>
      </c>
      <c r="AK78" s="378" t="str">
        <f>AK73</f>
        <v>Electricity</v>
      </c>
      <c r="AL78" s="284">
        <f>(IF(AK73='!'!$AH$27,Entries!$E$32,0)+IF(AK73='!'!$AH$28,Entries!$E$33,0))*Entries!$E$48</f>
        <v>0</v>
      </c>
      <c r="AM78" s="284">
        <f>(IF(AK73=Entries!$C$32,Entries!$D$32,0)+IF(AK73=Entries!$C$33,Entries!$D$33,0))*Entries!$D$48</f>
        <v>0</v>
      </c>
      <c r="AN78" s="285">
        <f>Results!$H$10</f>
        <v>0</v>
      </c>
      <c r="AO78" s="222"/>
    </row>
    <row r="79" spans="1:41" ht="15" customHeight="1" x14ac:dyDescent="0.35">
      <c r="A79" s="230"/>
      <c r="B79" s="230"/>
      <c r="C79" s="230"/>
      <c r="D79" s="230"/>
      <c r="E79" s="230"/>
      <c r="H79" s="210">
        <f t="shared" si="9"/>
        <v>0</v>
      </c>
      <c r="I79" s="210">
        <f t="shared" si="1"/>
        <v>1</v>
      </c>
      <c r="J79" s="278">
        <f t="shared" si="2"/>
        <v>10</v>
      </c>
      <c r="K79" s="276">
        <f t="shared" ref="K79:L79" si="18">IF($T$58=$L$15,J200,S200)-IF($T$59=$L$15,J200,S200)</f>
        <v>324674.62413545884</v>
      </c>
      <c r="L79" s="276">
        <f t="shared" si="18"/>
        <v>50656.507517290884</v>
      </c>
      <c r="M79" s="276">
        <f t="shared" si="5"/>
        <v>0</v>
      </c>
      <c r="N79" s="276">
        <f t="shared" si="6"/>
        <v>0</v>
      </c>
      <c r="O79" s="276">
        <f t="shared" si="7"/>
        <v>50656.507517290884</v>
      </c>
      <c r="P79" s="276"/>
      <c r="Q79" s="276">
        <f t="shared" si="8"/>
        <v>0</v>
      </c>
      <c r="R79" s="221">
        <f t="shared" si="11"/>
        <v>10</v>
      </c>
      <c r="S79" s="279">
        <f t="shared" si="3"/>
        <v>61750.000000000051</v>
      </c>
      <c r="T79" s="222">
        <f>IF(Results!E38="","",IF('!'!$X$37='!'!$X$40,(1+Results!$H$11)^Results!E38,1))</f>
        <v>1</v>
      </c>
      <c r="U79" s="283">
        <f>IF(Results!E38="","",IF('!'!$X$37='!'!$X$39,(1+Results!$H$11)^Results!E38,1)-1)</f>
        <v>0.21899441999475711</v>
      </c>
      <c r="AI79" s="222"/>
      <c r="AJ79" s="222"/>
      <c r="AK79" s="286" t="str">
        <f>AK74</f>
        <v>Gas</v>
      </c>
      <c r="AL79" s="284">
        <f>(IF(AK74='!'!$AH$27,Entries!$E$32,0)+IF(AK74='!'!$AH$28,Entries!$E$33,0))*Entries!$E$48</f>
        <v>0</v>
      </c>
      <c r="AM79" s="284">
        <f>(IF(AK74=Entries!$C$32,Entries!$D$32,0)+IF(AK74=Entries!$C$33,Entries!$D$33,0))*Entries!$D$48</f>
        <v>0</v>
      </c>
      <c r="AN79" s="285">
        <f>Results!$H$10</f>
        <v>0</v>
      </c>
      <c r="AO79" s="222"/>
    </row>
    <row r="80" spans="1:41" ht="15" customHeight="1" x14ac:dyDescent="0.35">
      <c r="A80" s="230"/>
      <c r="B80" s="230"/>
      <c r="C80" s="230"/>
      <c r="D80" s="230"/>
      <c r="E80" s="230"/>
      <c r="H80" s="210">
        <f t="shared" si="9"/>
        <v>0</v>
      </c>
      <c r="I80" s="210">
        <f t="shared" si="1"/>
        <v>0</v>
      </c>
      <c r="J80" s="278">
        <f t="shared" si="2"/>
        <v>0</v>
      </c>
      <c r="K80" s="276">
        <f t="shared" ref="K80:L80" si="19">IF($T$58=$L$15,J201,S201)-IF($T$59=$L$15,J201,S201)</f>
        <v>0</v>
      </c>
      <c r="L80" s="276">
        <f t="shared" si="19"/>
        <v>0</v>
      </c>
      <c r="M80" s="276">
        <f t="shared" si="5"/>
        <v>0</v>
      </c>
      <c r="N80" s="276">
        <f t="shared" si="6"/>
        <v>0</v>
      </c>
      <c r="O80" s="276">
        <f t="shared" si="7"/>
        <v>0</v>
      </c>
      <c r="P80" s="276"/>
      <c r="Q80" s="276">
        <f t="shared" si="8"/>
        <v>0</v>
      </c>
      <c r="R80" s="221">
        <f t="shared" si="11"/>
        <v>11</v>
      </c>
      <c r="S80" s="279">
        <f t="shared" si="3"/>
        <v>0</v>
      </c>
      <c r="T80" s="222" t="str">
        <f>IF(Results!E39="","",IF('!'!$X$37='!'!$X$40,(1+Results!$H$11)^Results!E39,1))</f>
        <v/>
      </c>
      <c r="U80" s="283" t="str">
        <f>IF(Results!E39="","",IF('!'!$X$37='!'!$X$39,(1+Results!$H$11)^Results!E39,1)-1)</f>
        <v/>
      </c>
      <c r="AI80" s="222"/>
      <c r="AJ80" s="222"/>
      <c r="AK80" s="286" t="str">
        <f>AK75</f>
        <v>-</v>
      </c>
      <c r="AL80" s="284">
        <f>(IF(AK75='!'!$AH$27,Entries!$E$32,0)+IF(AK75='!'!$AH$28,Entries!$E$33,0))*Entries!$E$48</f>
        <v>0</v>
      </c>
      <c r="AM80" s="284">
        <f>(IF(AK75=Entries!$C$32,Entries!$D$32,0)+IF(AK75=Entries!$C$33,Entries!$D$33,0))*Entries!$D$48</f>
        <v>0</v>
      </c>
      <c r="AN80" s="285">
        <f>Results!$H$10</f>
        <v>0</v>
      </c>
      <c r="AO80" s="222"/>
    </row>
    <row r="81" spans="1:41" ht="15" customHeight="1" x14ac:dyDescent="0.35">
      <c r="A81" s="230"/>
      <c r="B81" s="230"/>
      <c r="C81" s="230"/>
      <c r="D81" s="230"/>
      <c r="E81" s="230"/>
      <c r="H81" s="210">
        <f t="shared" si="9"/>
        <v>0</v>
      </c>
      <c r="I81" s="210">
        <f t="shared" si="1"/>
        <v>0</v>
      </c>
      <c r="J81" s="278">
        <f t="shared" si="2"/>
        <v>0</v>
      </c>
      <c r="K81" s="276">
        <f t="shared" ref="K81:L81" si="20">IF($T$58=$L$15,J202,S202)-IF($T$59=$L$15,J202,S202)</f>
        <v>0</v>
      </c>
      <c r="L81" s="276">
        <f t="shared" si="20"/>
        <v>0</v>
      </c>
      <c r="M81" s="276">
        <f t="shared" si="5"/>
        <v>0</v>
      </c>
      <c r="N81" s="276">
        <f t="shared" si="6"/>
        <v>0</v>
      </c>
      <c r="O81" s="276">
        <f t="shared" si="7"/>
        <v>0</v>
      </c>
      <c r="P81" s="276"/>
      <c r="Q81" s="276">
        <f t="shared" si="8"/>
        <v>0</v>
      </c>
      <c r="R81" s="221">
        <f t="shared" si="11"/>
        <v>12</v>
      </c>
      <c r="S81" s="279">
        <f t="shared" si="3"/>
        <v>0</v>
      </c>
      <c r="T81" s="222" t="str">
        <f>IF(Results!E40="","",IF('!'!$X$37='!'!$X$40,(1+Results!$H$11)^Results!E40,1))</f>
        <v/>
      </c>
      <c r="U81" s="283" t="str">
        <f>IF(Results!E40="","",IF('!'!$X$37='!'!$X$39,(1+Results!$H$11)^Results!E40,1)-1)</f>
        <v/>
      </c>
      <c r="AI81" s="222"/>
      <c r="AJ81" s="222"/>
      <c r="AK81" s="286"/>
      <c r="AL81" s="222"/>
      <c r="AM81" s="222"/>
      <c r="AO81" s="222"/>
    </row>
    <row r="82" spans="1:41" ht="15" customHeight="1" x14ac:dyDescent="0.35">
      <c r="A82" s="230"/>
      <c r="B82" s="230"/>
      <c r="C82" s="230"/>
      <c r="D82" s="230"/>
      <c r="E82" s="230"/>
      <c r="H82" s="210">
        <f t="shared" si="9"/>
        <v>0</v>
      </c>
      <c r="I82" s="210">
        <f t="shared" si="1"/>
        <v>0</v>
      </c>
      <c r="J82" s="278">
        <f t="shared" si="2"/>
        <v>0</v>
      </c>
      <c r="K82" s="276">
        <f t="shared" ref="K82:L82" si="21">IF($T$58=$L$15,J203,S203)-IF($T$59=$L$15,J203,S203)</f>
        <v>0</v>
      </c>
      <c r="L82" s="276">
        <f t="shared" si="21"/>
        <v>0</v>
      </c>
      <c r="M82" s="276">
        <f t="shared" si="5"/>
        <v>0</v>
      </c>
      <c r="N82" s="276">
        <f t="shared" si="6"/>
        <v>0</v>
      </c>
      <c r="O82" s="276">
        <f t="shared" si="7"/>
        <v>0</v>
      </c>
      <c r="P82" s="276"/>
      <c r="Q82" s="276">
        <f t="shared" si="8"/>
        <v>0</v>
      </c>
      <c r="R82" s="221">
        <f t="shared" si="11"/>
        <v>13</v>
      </c>
      <c r="S82" s="279">
        <f t="shared" si="3"/>
        <v>0</v>
      </c>
      <c r="T82" s="222" t="str">
        <f>IF(Results!E41="","",IF('!'!$X$37='!'!$X$40,(1+Results!$H$11)^Results!E41,1))</f>
        <v/>
      </c>
      <c r="U82" s="283" t="str">
        <f>IF(Results!E41="","",IF('!'!$X$37='!'!$X$39,(1+Results!$H$11)^Results!E41,1)-1)</f>
        <v/>
      </c>
      <c r="AI82" s="222"/>
      <c r="AJ82" s="222"/>
      <c r="AK82" s="286"/>
      <c r="AL82" s="222"/>
      <c r="AM82" s="222"/>
      <c r="AN82" s="222"/>
      <c r="AO82" s="222"/>
    </row>
    <row r="83" spans="1:41" ht="15" customHeight="1" x14ac:dyDescent="0.35">
      <c r="A83" s="230"/>
      <c r="B83" s="230"/>
      <c r="C83" s="230"/>
      <c r="D83" s="230"/>
      <c r="E83" s="230"/>
      <c r="H83" s="210">
        <f t="shared" si="9"/>
        <v>0</v>
      </c>
      <c r="I83" s="210">
        <f t="shared" si="1"/>
        <v>0</v>
      </c>
      <c r="J83" s="278">
        <f t="shared" si="2"/>
        <v>0</v>
      </c>
      <c r="K83" s="276">
        <f t="shared" ref="K83:L83" si="22">IF($T$58=$L$15,J204,S204)-IF($T$59=$L$15,J204,S204)</f>
        <v>0</v>
      </c>
      <c r="L83" s="276">
        <f t="shared" si="22"/>
        <v>0</v>
      </c>
      <c r="M83" s="276">
        <f t="shared" si="5"/>
        <v>0</v>
      </c>
      <c r="N83" s="276">
        <f t="shared" si="6"/>
        <v>0</v>
      </c>
      <c r="O83" s="276">
        <f t="shared" si="7"/>
        <v>0</v>
      </c>
      <c r="P83" s="276"/>
      <c r="Q83" s="276">
        <f t="shared" si="8"/>
        <v>0</v>
      </c>
      <c r="R83" s="221">
        <f t="shared" si="11"/>
        <v>14</v>
      </c>
      <c r="S83" s="279">
        <f t="shared" si="3"/>
        <v>0</v>
      </c>
      <c r="T83" s="222" t="str">
        <f>IF(Results!E42="","",IF('!'!$X$37='!'!$X$40,(1+Results!$H$11)^Results!E42,1))</f>
        <v/>
      </c>
      <c r="U83" s="283" t="str">
        <f>IF(Results!E42="","",IF('!'!$X$37='!'!$X$39,(1+Results!$H$11)^Results!E42,1)-1)</f>
        <v/>
      </c>
      <c r="AI83" s="222"/>
      <c r="AJ83" s="222"/>
      <c r="AK83" s="286"/>
      <c r="AL83" s="222"/>
      <c r="AM83" s="222"/>
      <c r="AN83" s="222"/>
      <c r="AO83" s="222"/>
    </row>
    <row r="84" spans="1:41" ht="15" customHeight="1" x14ac:dyDescent="0.35">
      <c r="A84" s="230"/>
      <c r="B84" s="230"/>
      <c r="C84" s="230"/>
      <c r="D84" s="230"/>
      <c r="E84" s="230"/>
      <c r="H84" s="210">
        <f t="shared" si="9"/>
        <v>0</v>
      </c>
      <c r="I84" s="210">
        <f t="shared" si="1"/>
        <v>0</v>
      </c>
      <c r="J84" s="278">
        <f t="shared" si="2"/>
        <v>0</v>
      </c>
      <c r="K84" s="276">
        <f t="shared" ref="K84:L84" si="23">IF($T$58=$L$15,J205,S205)-IF($T$59=$L$15,J205,S205)</f>
        <v>0</v>
      </c>
      <c r="L84" s="276">
        <f t="shared" si="23"/>
        <v>0</v>
      </c>
      <c r="M84" s="276">
        <f t="shared" si="5"/>
        <v>0</v>
      </c>
      <c r="N84" s="276">
        <f t="shared" si="6"/>
        <v>0</v>
      </c>
      <c r="O84" s="276">
        <f t="shared" si="7"/>
        <v>0</v>
      </c>
      <c r="P84" s="276"/>
      <c r="Q84" s="276">
        <f t="shared" si="8"/>
        <v>0</v>
      </c>
      <c r="R84" s="221">
        <f t="shared" si="11"/>
        <v>15</v>
      </c>
      <c r="S84" s="279">
        <f t="shared" si="3"/>
        <v>0</v>
      </c>
      <c r="T84" s="222" t="str">
        <f>IF(Results!E43="","",IF('!'!$X$37='!'!$X$40,(1+Results!$H$11)^Results!E43,1))</f>
        <v/>
      </c>
      <c r="U84" s="283" t="str">
        <f>IF(Results!E43="","",IF('!'!$X$37='!'!$X$39,(1+Results!$H$11)^Results!E43,1)-1)</f>
        <v/>
      </c>
      <c r="AI84" s="222"/>
      <c r="AJ84" s="222" t="s">
        <v>60</v>
      </c>
      <c r="AK84" s="286" t="str">
        <f>AK78</f>
        <v>Electricity</v>
      </c>
      <c r="AL84" s="287" t="e">
        <f t="shared" ref="AL84:AM86" si="24">AL73+AL78</f>
        <v>#REF!</v>
      </c>
      <c r="AM84" s="287">
        <f t="shared" si="24"/>
        <v>5000000</v>
      </c>
      <c r="AN84" s="222"/>
      <c r="AO84" s="222"/>
    </row>
    <row r="85" spans="1:41" ht="15" customHeight="1" x14ac:dyDescent="0.35">
      <c r="A85" s="230"/>
      <c r="B85" s="230"/>
      <c r="C85" s="230"/>
      <c r="D85" s="230"/>
      <c r="E85" s="230"/>
      <c r="H85" s="210">
        <f t="shared" si="9"/>
        <v>0</v>
      </c>
      <c r="I85" s="210">
        <f t="shared" si="1"/>
        <v>0</v>
      </c>
      <c r="J85" s="278">
        <f t="shared" si="2"/>
        <v>0</v>
      </c>
      <c r="K85" s="276">
        <f t="shared" ref="K85:L85" si="25">IF($T$58=$L$15,J206,S206)-IF($T$59=$L$15,J206,S206)</f>
        <v>0</v>
      </c>
      <c r="L85" s="276">
        <f t="shared" si="25"/>
        <v>0</v>
      </c>
      <c r="M85" s="276">
        <f t="shared" si="5"/>
        <v>0</v>
      </c>
      <c r="N85" s="276">
        <f t="shared" si="6"/>
        <v>0</v>
      </c>
      <c r="O85" s="276">
        <f t="shared" si="7"/>
        <v>0</v>
      </c>
      <c r="P85" s="276"/>
      <c r="Q85" s="276">
        <f t="shared" si="8"/>
        <v>0</v>
      </c>
      <c r="R85" s="221">
        <f t="shared" si="11"/>
        <v>16</v>
      </c>
      <c r="S85" s="279">
        <f t="shared" si="3"/>
        <v>0</v>
      </c>
      <c r="T85" s="222" t="str">
        <f>IF(Results!E44="","",IF('!'!$X$37='!'!$X$40,(1+Results!$H$11)^Results!E44,1))</f>
        <v/>
      </c>
      <c r="U85" s="283" t="str">
        <f>IF(Results!E44="","",IF('!'!$X$37='!'!$X$39,(1+Results!$H$11)^Results!E44,1)-1)</f>
        <v/>
      </c>
      <c r="AI85" s="222"/>
      <c r="AJ85" s="222"/>
      <c r="AK85" s="286" t="str">
        <f>AK79</f>
        <v>Gas</v>
      </c>
      <c r="AL85" s="287" t="e">
        <f t="shared" si="24"/>
        <v>#REF!</v>
      </c>
      <c r="AM85" s="287">
        <f t="shared" si="24"/>
        <v>3500000</v>
      </c>
      <c r="AN85" s="222"/>
      <c r="AO85" s="222"/>
    </row>
    <row r="86" spans="1:41" ht="15" customHeight="1" x14ac:dyDescent="0.35">
      <c r="A86" s="230"/>
      <c r="B86" s="230"/>
      <c r="C86" s="230"/>
      <c r="D86" s="230"/>
      <c r="E86" s="230"/>
      <c r="H86" s="210">
        <f t="shared" si="9"/>
        <v>0</v>
      </c>
      <c r="I86" s="210">
        <f t="shared" si="1"/>
        <v>0</v>
      </c>
      <c r="J86" s="278">
        <f t="shared" si="2"/>
        <v>0</v>
      </c>
      <c r="K86" s="276">
        <f t="shared" ref="K86:L86" si="26">IF($T$58=$L$15,J207,S207)-IF($T$59=$L$15,J207,S207)</f>
        <v>0</v>
      </c>
      <c r="L86" s="276">
        <f t="shared" si="26"/>
        <v>0</v>
      </c>
      <c r="M86" s="276">
        <f t="shared" si="5"/>
        <v>0</v>
      </c>
      <c r="N86" s="276">
        <f t="shared" si="6"/>
        <v>0</v>
      </c>
      <c r="O86" s="276">
        <f t="shared" si="7"/>
        <v>0</v>
      </c>
      <c r="P86" s="276"/>
      <c r="Q86" s="276">
        <f t="shared" si="8"/>
        <v>0</v>
      </c>
      <c r="R86" s="221">
        <f t="shared" si="11"/>
        <v>17</v>
      </c>
      <c r="S86" s="279">
        <f t="shared" si="3"/>
        <v>0</v>
      </c>
      <c r="T86" s="222" t="str">
        <f>IF(Results!E45="","",IF('!'!$X$37='!'!$X$40,(1+Results!$H$11)^Results!E45,1))</f>
        <v/>
      </c>
      <c r="U86" s="283" t="str">
        <f>IF(Results!E45="","",IF('!'!$X$37='!'!$X$39,(1+Results!$H$11)^Results!E45,1)-1)</f>
        <v/>
      </c>
      <c r="AA86" s="222"/>
      <c r="AB86" s="222"/>
      <c r="AC86" s="222"/>
      <c r="AD86" s="222"/>
      <c r="AE86" s="222"/>
      <c r="AF86" s="222"/>
      <c r="AG86" s="222"/>
      <c r="AI86" s="222"/>
      <c r="AJ86" s="222"/>
      <c r="AK86" s="286" t="str">
        <f>AK80</f>
        <v>-</v>
      </c>
      <c r="AL86" s="287" t="e">
        <f t="shared" si="24"/>
        <v>#REF!</v>
      </c>
      <c r="AM86" s="287">
        <f t="shared" si="24"/>
        <v>0</v>
      </c>
      <c r="AN86" s="222"/>
      <c r="AO86" s="222"/>
    </row>
    <row r="87" spans="1:41" ht="15" customHeight="1" x14ac:dyDescent="0.35">
      <c r="A87" s="230"/>
      <c r="B87" s="230"/>
      <c r="C87" s="230"/>
      <c r="D87" s="230"/>
      <c r="E87" s="230"/>
      <c r="H87" s="210">
        <f t="shared" si="9"/>
        <v>0</v>
      </c>
      <c r="I87" s="210">
        <f t="shared" si="1"/>
        <v>0</v>
      </c>
      <c r="J87" s="278">
        <f t="shared" si="2"/>
        <v>0</v>
      </c>
      <c r="K87" s="276">
        <f t="shared" ref="K87:L87" si="27">IF($T$58=$L$15,J208,S208)-IF($T$59=$L$15,J208,S208)</f>
        <v>0</v>
      </c>
      <c r="L87" s="276">
        <f t="shared" si="27"/>
        <v>0</v>
      </c>
      <c r="M87" s="276">
        <f t="shared" si="5"/>
        <v>0</v>
      </c>
      <c r="N87" s="276">
        <f t="shared" si="6"/>
        <v>0</v>
      </c>
      <c r="O87" s="276">
        <f t="shared" si="7"/>
        <v>0</v>
      </c>
      <c r="P87" s="276"/>
      <c r="Q87" s="276">
        <f t="shared" si="8"/>
        <v>0</v>
      </c>
      <c r="R87" s="221">
        <f t="shared" si="11"/>
        <v>18</v>
      </c>
      <c r="S87" s="279">
        <f t="shared" si="3"/>
        <v>0</v>
      </c>
      <c r="T87" s="222" t="str">
        <f>IF(Results!E46="","",IF('!'!$X$37='!'!$X$40,(1+Results!$H$11)^Results!E46,1))</f>
        <v/>
      </c>
      <c r="U87" s="283" t="str">
        <f>IF(Results!E46="","",IF('!'!$X$37='!'!$X$39,(1+Results!$H$11)^Results!E46,1)-1)</f>
        <v/>
      </c>
      <c r="AA87" s="222"/>
      <c r="AB87" s="222"/>
      <c r="AC87" s="222"/>
      <c r="AD87" s="222"/>
      <c r="AE87" s="222"/>
      <c r="AF87" s="222"/>
      <c r="AG87" s="222"/>
    </row>
    <row r="88" spans="1:41" ht="15" customHeight="1" x14ac:dyDescent="0.35">
      <c r="A88" s="230"/>
      <c r="B88" s="230"/>
      <c r="C88" s="230"/>
      <c r="D88" s="230"/>
      <c r="E88" s="230"/>
      <c r="H88" s="210">
        <f t="shared" si="9"/>
        <v>0</v>
      </c>
      <c r="I88" s="210">
        <f t="shared" si="1"/>
        <v>0</v>
      </c>
      <c r="J88" s="278">
        <f t="shared" si="2"/>
        <v>0</v>
      </c>
      <c r="K88" s="276">
        <f t="shared" ref="K88:L88" si="28">IF($T$58=$L$15,J209,S209)-IF($T$59=$L$15,J209,S209)</f>
        <v>0</v>
      </c>
      <c r="L88" s="276">
        <f t="shared" si="28"/>
        <v>0</v>
      </c>
      <c r="M88" s="276">
        <f t="shared" si="5"/>
        <v>0</v>
      </c>
      <c r="N88" s="276">
        <f t="shared" si="6"/>
        <v>0</v>
      </c>
      <c r="O88" s="276">
        <f t="shared" si="7"/>
        <v>0</v>
      </c>
      <c r="P88" s="276"/>
      <c r="Q88" s="276">
        <f t="shared" si="8"/>
        <v>0</v>
      </c>
      <c r="R88" s="221">
        <f t="shared" si="11"/>
        <v>19</v>
      </c>
      <c r="S88" s="279">
        <f t="shared" si="3"/>
        <v>0</v>
      </c>
      <c r="T88" s="222" t="str">
        <f>IF(Results!E47="","",IF('!'!$X$37='!'!$X$40,(1+Results!$H$11)^Results!E47,1))</f>
        <v/>
      </c>
      <c r="U88" s="283" t="str">
        <f>IF(Results!E47="","",IF('!'!$X$37='!'!$X$39,(1+Results!$H$11)^Results!E47,1)-1)</f>
        <v/>
      </c>
    </row>
    <row r="89" spans="1:41" ht="15" customHeight="1" x14ac:dyDescent="0.35">
      <c r="A89" s="230"/>
      <c r="B89" s="230"/>
      <c r="C89" s="230"/>
      <c r="D89" s="230"/>
      <c r="E89" s="230"/>
      <c r="H89" s="210">
        <f t="shared" si="9"/>
        <v>0</v>
      </c>
      <c r="I89" s="210">
        <f t="shared" si="1"/>
        <v>0</v>
      </c>
      <c r="J89" s="278">
        <f t="shared" si="2"/>
        <v>0</v>
      </c>
      <c r="K89" s="276">
        <f t="shared" ref="K89:L89" si="29">IF($T$58=$L$15,J210,S210)-IF($T$59=$L$15,J210,S210)</f>
        <v>0</v>
      </c>
      <c r="L89" s="276">
        <f t="shared" si="29"/>
        <v>0</v>
      </c>
      <c r="M89" s="276">
        <f t="shared" si="5"/>
        <v>0</v>
      </c>
      <c r="N89" s="276">
        <f t="shared" si="6"/>
        <v>0</v>
      </c>
      <c r="O89" s="276">
        <f t="shared" si="7"/>
        <v>0</v>
      </c>
      <c r="P89" s="276"/>
      <c r="Q89" s="276">
        <f t="shared" si="8"/>
        <v>0</v>
      </c>
      <c r="R89" s="221">
        <f t="shared" si="11"/>
        <v>20</v>
      </c>
      <c r="S89" s="279">
        <f t="shared" si="3"/>
        <v>0</v>
      </c>
      <c r="T89" s="222" t="str">
        <f>IF(Results!E48="","",IF('!'!$X$37='!'!$X$40,(1+Results!$H$11)^Results!E48,1))</f>
        <v/>
      </c>
      <c r="U89" s="283" t="str">
        <f>IF(Results!E48="","",IF('!'!$X$37='!'!$X$39,(1+Results!$H$11)^Results!E48,1)-1)</f>
        <v/>
      </c>
    </row>
    <row r="90" spans="1:41" ht="15" customHeight="1" x14ac:dyDescent="0.35">
      <c r="A90" s="230"/>
      <c r="B90" s="230"/>
      <c r="C90" s="230"/>
      <c r="D90" s="230"/>
      <c r="E90" s="230"/>
      <c r="H90" s="210">
        <f t="shared" si="9"/>
        <v>0</v>
      </c>
      <c r="I90" s="210">
        <f t="shared" si="1"/>
        <v>0</v>
      </c>
      <c r="J90" s="278">
        <f t="shared" si="2"/>
        <v>0</v>
      </c>
      <c r="K90" s="276">
        <f t="shared" ref="K90:L90" si="30">IF($T$58=$L$15,J211,S211)-IF($T$59=$L$15,J211,S211)</f>
        <v>0</v>
      </c>
      <c r="L90" s="276">
        <f t="shared" si="30"/>
        <v>0</v>
      </c>
      <c r="M90" s="276">
        <f t="shared" si="5"/>
        <v>0</v>
      </c>
      <c r="N90" s="276">
        <f t="shared" si="6"/>
        <v>0</v>
      </c>
      <c r="O90" s="276">
        <f t="shared" si="7"/>
        <v>0</v>
      </c>
      <c r="P90" s="276"/>
      <c r="Q90" s="276">
        <f t="shared" si="8"/>
        <v>0</v>
      </c>
      <c r="R90" s="221">
        <f t="shared" si="11"/>
        <v>21</v>
      </c>
      <c r="S90" s="279">
        <f t="shared" si="3"/>
        <v>0</v>
      </c>
      <c r="T90" s="222" t="str">
        <f>IF(Results!E49="","",IF('!'!$X$37='!'!$X$40,(1+Results!$H$11)^Results!E49,1))</f>
        <v/>
      </c>
      <c r="U90" s="283" t="str">
        <f>IF(Results!E49="","",IF('!'!$X$37='!'!$X$39,(1+Results!$H$11)^Results!E49,1)-1)</f>
        <v/>
      </c>
    </row>
    <row r="91" spans="1:41" ht="15" customHeight="1" x14ac:dyDescent="0.35">
      <c r="A91" s="230"/>
      <c r="B91" s="230"/>
      <c r="C91" s="230"/>
      <c r="D91" s="230"/>
      <c r="E91" s="230"/>
      <c r="H91" s="210">
        <f t="shared" si="9"/>
        <v>0</v>
      </c>
      <c r="I91" s="210">
        <f t="shared" si="1"/>
        <v>0</v>
      </c>
      <c r="J91" s="278">
        <f t="shared" si="2"/>
        <v>0</v>
      </c>
      <c r="K91" s="276">
        <f t="shared" ref="K91:L91" si="31">IF($T$58=$L$15,J212,S212)-IF($T$59=$L$15,J212,S212)</f>
        <v>0</v>
      </c>
      <c r="L91" s="276">
        <f t="shared" si="31"/>
        <v>0</v>
      </c>
      <c r="M91" s="276">
        <f t="shared" si="5"/>
        <v>0</v>
      </c>
      <c r="N91" s="276">
        <f t="shared" si="6"/>
        <v>0</v>
      </c>
      <c r="O91" s="276">
        <f t="shared" si="7"/>
        <v>0</v>
      </c>
      <c r="P91" s="276"/>
      <c r="Q91" s="276">
        <f t="shared" si="8"/>
        <v>0</v>
      </c>
      <c r="R91" s="221">
        <f t="shared" si="11"/>
        <v>22</v>
      </c>
      <c r="S91" s="279">
        <f t="shared" si="3"/>
        <v>0</v>
      </c>
      <c r="T91" s="222" t="str">
        <f>IF(Results!E50="","",IF('!'!$X$37='!'!$X$40,(1+Results!$H$11)^Results!E50,1))</f>
        <v/>
      </c>
      <c r="U91" s="283" t="str">
        <f>IF(Results!E50="","",IF('!'!$X$37='!'!$X$39,(1+Results!$H$11)^Results!E50,1)-1)</f>
        <v/>
      </c>
    </row>
    <row r="92" spans="1:41" ht="15" customHeight="1" x14ac:dyDescent="0.35">
      <c r="A92" s="230"/>
      <c r="B92" s="230"/>
      <c r="C92" s="230"/>
      <c r="D92" s="230"/>
      <c r="E92" s="230"/>
      <c r="H92" s="210">
        <f t="shared" si="9"/>
        <v>0</v>
      </c>
      <c r="I92" s="210">
        <f t="shared" si="1"/>
        <v>0</v>
      </c>
      <c r="J92" s="278">
        <f t="shared" si="2"/>
        <v>0</v>
      </c>
      <c r="K92" s="276">
        <f t="shared" ref="K92:L92" si="32">IF($T$58=$L$15,J213,S213)-IF($T$59=$L$15,J213,S213)</f>
        <v>0</v>
      </c>
      <c r="L92" s="276">
        <f t="shared" si="32"/>
        <v>0</v>
      </c>
      <c r="M92" s="276">
        <f t="shared" si="5"/>
        <v>0</v>
      </c>
      <c r="N92" s="276">
        <f t="shared" si="6"/>
        <v>0</v>
      </c>
      <c r="O92" s="276">
        <f t="shared" si="7"/>
        <v>0</v>
      </c>
      <c r="P92" s="276"/>
      <c r="Q92" s="276">
        <f t="shared" si="8"/>
        <v>0</v>
      </c>
      <c r="R92" s="221">
        <f t="shared" si="11"/>
        <v>23</v>
      </c>
      <c r="S92" s="279">
        <f t="shared" si="3"/>
        <v>0</v>
      </c>
      <c r="T92" s="222" t="str">
        <f>IF(Results!E51="","",IF('!'!$X$37='!'!$X$40,(1+Results!$H$11)^Results!E51,1))</f>
        <v/>
      </c>
      <c r="U92" s="283" t="str">
        <f>IF(Results!E51="","",IF('!'!$X$37='!'!$X$39,(1+Results!$H$11)^Results!E51,1)-1)</f>
        <v/>
      </c>
    </row>
    <row r="93" spans="1:41" ht="15" customHeight="1" x14ac:dyDescent="0.35">
      <c r="A93" s="230"/>
      <c r="B93" s="230"/>
      <c r="C93" s="230"/>
      <c r="D93" s="230"/>
      <c r="E93" s="230"/>
      <c r="H93" s="210">
        <f t="shared" si="9"/>
        <v>0</v>
      </c>
      <c r="I93" s="210">
        <f t="shared" si="1"/>
        <v>0</v>
      </c>
      <c r="J93" s="278">
        <f t="shared" si="2"/>
        <v>0</v>
      </c>
      <c r="K93" s="276">
        <f t="shared" ref="K93:L93" si="33">IF($T$58=$L$15,J214,S214)-IF($T$59=$L$15,J214,S214)</f>
        <v>0</v>
      </c>
      <c r="L93" s="276">
        <f t="shared" si="33"/>
        <v>0</v>
      </c>
      <c r="M93" s="276">
        <f t="shared" si="5"/>
        <v>0</v>
      </c>
      <c r="N93" s="276">
        <f t="shared" si="6"/>
        <v>0</v>
      </c>
      <c r="O93" s="276">
        <f t="shared" si="7"/>
        <v>0</v>
      </c>
      <c r="P93" s="276"/>
      <c r="Q93" s="276">
        <f t="shared" si="8"/>
        <v>0</v>
      </c>
      <c r="R93" s="221">
        <f t="shared" si="11"/>
        <v>24</v>
      </c>
      <c r="S93" s="279">
        <f t="shared" si="3"/>
        <v>0</v>
      </c>
      <c r="T93" s="222" t="str">
        <f>IF(Results!E52="","",IF('!'!$X$37='!'!$X$40,(1+Results!$H$11)^Results!E52,1))</f>
        <v/>
      </c>
      <c r="U93" s="283" t="str">
        <f>IF(Results!E52="","",IF('!'!$X$37='!'!$X$39,(1+Results!$H$11)^Results!E52,1)-1)</f>
        <v/>
      </c>
    </row>
    <row r="94" spans="1:41" ht="30.75" customHeight="1" x14ac:dyDescent="0.35">
      <c r="A94" s="230"/>
      <c r="B94" s="230"/>
      <c r="C94" s="230"/>
      <c r="D94" s="230"/>
      <c r="E94" s="230"/>
      <c r="H94" s="210">
        <f t="shared" si="9"/>
        <v>0</v>
      </c>
      <c r="I94" s="210">
        <f t="shared" si="1"/>
        <v>0</v>
      </c>
      <c r="J94" s="278">
        <f t="shared" si="2"/>
        <v>0</v>
      </c>
      <c r="K94" s="276">
        <f t="shared" ref="K94:L94" si="34">IF($T$58=$L$15,J215,S215)-IF($T$59=$L$15,J215,S215)</f>
        <v>0</v>
      </c>
      <c r="L94" s="276">
        <f t="shared" si="34"/>
        <v>0</v>
      </c>
      <c r="M94" s="276">
        <f t="shared" si="5"/>
        <v>0</v>
      </c>
      <c r="N94" s="276">
        <f t="shared" si="6"/>
        <v>0</v>
      </c>
      <c r="O94" s="276">
        <f t="shared" si="7"/>
        <v>0</v>
      </c>
      <c r="P94" s="276"/>
      <c r="Q94" s="276">
        <f t="shared" si="8"/>
        <v>0</v>
      </c>
      <c r="R94" s="221">
        <f t="shared" si="11"/>
        <v>25</v>
      </c>
      <c r="S94" s="279">
        <f t="shared" si="3"/>
        <v>0</v>
      </c>
      <c r="T94" s="222" t="str">
        <f>IF(Results!E53="","",IF('!'!$X$37='!'!$X$40,(1+Results!$H$11)^Results!E53,1))</f>
        <v/>
      </c>
      <c r="U94" s="283" t="str">
        <f>IF(Results!E53="","",IF('!'!$X$37='!'!$X$39,(1+Results!$H$11)^Results!E53,1)-1)</f>
        <v/>
      </c>
    </row>
    <row r="95" spans="1:41" ht="15" customHeight="1" x14ac:dyDescent="0.35">
      <c r="A95" s="230"/>
      <c r="B95" s="230"/>
      <c r="C95" s="230"/>
      <c r="D95" s="230"/>
      <c r="E95" s="230"/>
      <c r="H95" s="210">
        <f t="shared" si="9"/>
        <v>0</v>
      </c>
      <c r="I95" s="210">
        <f t="shared" si="1"/>
        <v>0</v>
      </c>
      <c r="J95" s="288"/>
      <c r="K95" s="279"/>
      <c r="L95" s="279"/>
      <c r="M95" s="279"/>
      <c r="N95" s="279"/>
      <c r="O95" s="279"/>
      <c r="P95" s="279"/>
      <c r="Q95" s="279"/>
      <c r="S95" s="279"/>
      <c r="T95" s="222" t="str">
        <f>IF(Results!E54="","",IF('!'!$X$37='!'!$X$40,(1+Results!$H$11)^Results!E54,1))</f>
        <v/>
      </c>
      <c r="U95" s="283" t="str">
        <f>IF(Results!E54="","",IF('!'!$X$37='!'!$X$39,(1+Results!$H$11)^Results!E54,1)-1)</f>
        <v/>
      </c>
    </row>
    <row r="96" spans="1:41" ht="15" customHeight="1" x14ac:dyDescent="0.35">
      <c r="A96" s="230"/>
      <c r="B96" s="230"/>
      <c r="C96" s="230"/>
      <c r="D96" s="230"/>
      <c r="E96" s="230"/>
      <c r="H96" s="210">
        <f t="shared" si="9"/>
        <v>0</v>
      </c>
      <c r="I96" s="210">
        <f t="shared" si="1"/>
        <v>0</v>
      </c>
      <c r="J96" s="288"/>
      <c r="K96" s="279"/>
      <c r="L96" s="279"/>
      <c r="M96" s="279"/>
      <c r="N96" s="279"/>
      <c r="O96" s="279"/>
      <c r="P96" s="279"/>
      <c r="Q96" s="279"/>
      <c r="S96" s="279"/>
    </row>
    <row r="97" spans="1:19" ht="15" customHeight="1" x14ac:dyDescent="0.35">
      <c r="A97" s="230"/>
      <c r="B97" s="230"/>
      <c r="C97" s="230"/>
      <c r="D97" s="230"/>
      <c r="E97" s="230"/>
      <c r="H97" s="210">
        <f t="shared" si="9"/>
        <v>0</v>
      </c>
      <c r="I97" s="210">
        <f t="shared" si="1"/>
        <v>0</v>
      </c>
      <c r="J97" s="288"/>
      <c r="K97" s="279"/>
      <c r="L97" s="279"/>
      <c r="M97" s="279"/>
      <c r="N97" s="279"/>
      <c r="O97" s="279"/>
      <c r="P97" s="279"/>
      <c r="Q97" s="279"/>
      <c r="S97" s="279"/>
    </row>
    <row r="98" spans="1:19" ht="15" customHeight="1" x14ac:dyDescent="0.35">
      <c r="A98" s="230"/>
      <c r="B98" s="230"/>
      <c r="C98" s="230"/>
      <c r="D98" s="230"/>
      <c r="E98" s="230"/>
      <c r="H98" s="210">
        <f t="shared" si="9"/>
        <v>0</v>
      </c>
      <c r="I98" s="210">
        <f t="shared" si="1"/>
        <v>0</v>
      </c>
      <c r="J98" s="288"/>
      <c r="K98" s="279"/>
      <c r="L98" s="279"/>
      <c r="M98" s="279"/>
      <c r="N98" s="279"/>
      <c r="O98" s="279"/>
      <c r="P98" s="279"/>
      <c r="Q98" s="279"/>
      <c r="S98" s="279"/>
    </row>
    <row r="99" spans="1:19" ht="15" customHeight="1" x14ac:dyDescent="0.35">
      <c r="A99" s="230"/>
      <c r="B99" s="230"/>
      <c r="C99" s="230"/>
      <c r="D99" s="230"/>
      <c r="E99" s="230"/>
      <c r="H99" s="210">
        <f t="shared" si="9"/>
        <v>0</v>
      </c>
      <c r="I99" s="210">
        <f t="shared" si="1"/>
        <v>0</v>
      </c>
      <c r="J99" s="288"/>
      <c r="K99" s="279"/>
      <c r="L99" s="279"/>
      <c r="M99" s="279"/>
      <c r="N99" s="279"/>
      <c r="O99" s="279"/>
      <c r="P99" s="279"/>
      <c r="Q99" s="279"/>
      <c r="S99" s="279"/>
    </row>
    <row r="100" spans="1:19" ht="15" customHeight="1" x14ac:dyDescent="0.35">
      <c r="A100" s="230"/>
      <c r="B100" s="230"/>
      <c r="C100" s="230"/>
      <c r="D100" s="230"/>
      <c r="E100" s="230"/>
      <c r="H100" s="210">
        <f t="shared" si="9"/>
        <v>0</v>
      </c>
      <c r="I100" s="210">
        <f t="shared" si="1"/>
        <v>0</v>
      </c>
      <c r="J100" s="288"/>
      <c r="K100" s="279"/>
      <c r="L100" s="279"/>
      <c r="M100" s="279"/>
      <c r="N100" s="279"/>
      <c r="O100" s="279"/>
      <c r="P100" s="279"/>
      <c r="Q100" s="279"/>
      <c r="S100" s="279"/>
    </row>
    <row r="101" spans="1:19" ht="15" customHeight="1" x14ac:dyDescent="0.35">
      <c r="A101" s="230"/>
      <c r="B101" s="230"/>
      <c r="C101" s="230"/>
      <c r="D101" s="230"/>
      <c r="E101" s="230"/>
      <c r="H101" s="210">
        <f t="shared" si="9"/>
        <v>0</v>
      </c>
      <c r="I101" s="210">
        <f t="shared" si="1"/>
        <v>0</v>
      </c>
      <c r="J101" s="288"/>
      <c r="K101" s="279"/>
      <c r="L101" s="279"/>
      <c r="M101" s="279"/>
      <c r="N101" s="279"/>
      <c r="O101" s="279"/>
      <c r="P101" s="279"/>
      <c r="Q101" s="279"/>
      <c r="S101" s="279"/>
    </row>
    <row r="102" spans="1:19" ht="15" customHeight="1" x14ac:dyDescent="0.35">
      <c r="A102" s="230"/>
      <c r="B102" s="230"/>
      <c r="C102" s="230"/>
      <c r="D102" s="230"/>
      <c r="E102" s="230"/>
      <c r="H102" s="210">
        <f t="shared" si="9"/>
        <v>0</v>
      </c>
      <c r="I102" s="210">
        <f t="shared" si="1"/>
        <v>0</v>
      </c>
      <c r="J102" s="288"/>
      <c r="K102" s="279"/>
      <c r="L102" s="279"/>
      <c r="M102" s="279"/>
      <c r="N102" s="279"/>
      <c r="O102" s="279"/>
      <c r="P102" s="279"/>
      <c r="Q102" s="279"/>
      <c r="S102" s="279"/>
    </row>
    <row r="103" spans="1:19" ht="15" customHeight="1" x14ac:dyDescent="0.35">
      <c r="A103" s="230"/>
      <c r="B103" s="230"/>
      <c r="C103" s="230"/>
      <c r="D103" s="230"/>
      <c r="E103" s="230"/>
      <c r="H103" s="210">
        <f t="shared" si="9"/>
        <v>0</v>
      </c>
      <c r="I103" s="210">
        <f t="shared" ref="I103:I133" si="35">IF(K103&gt;0,1,0)</f>
        <v>0</v>
      </c>
      <c r="J103" s="288"/>
      <c r="K103" s="279"/>
      <c r="L103" s="279"/>
      <c r="M103" s="279"/>
      <c r="N103" s="279"/>
      <c r="O103" s="279"/>
      <c r="P103" s="279"/>
      <c r="Q103" s="279"/>
      <c r="S103" s="279"/>
    </row>
    <row r="104" spans="1:19" ht="15" customHeight="1" x14ac:dyDescent="0.35">
      <c r="A104" s="230"/>
      <c r="B104" s="230"/>
      <c r="C104" s="230"/>
      <c r="D104" s="230"/>
      <c r="E104" s="230"/>
      <c r="H104" s="210">
        <f t="shared" si="9"/>
        <v>0</v>
      </c>
      <c r="I104" s="210">
        <f t="shared" si="35"/>
        <v>0</v>
      </c>
      <c r="J104" s="288"/>
      <c r="K104" s="279"/>
      <c r="L104" s="279"/>
      <c r="M104" s="279"/>
      <c r="N104" s="279"/>
      <c r="O104" s="279"/>
      <c r="P104" s="279"/>
      <c r="Q104" s="279"/>
      <c r="S104" s="279"/>
    </row>
    <row r="105" spans="1:19" ht="15" customHeight="1" x14ac:dyDescent="0.35">
      <c r="A105" s="230"/>
      <c r="B105" s="230"/>
      <c r="C105" s="230"/>
      <c r="D105" s="230"/>
      <c r="E105" s="230"/>
      <c r="H105" s="210">
        <f t="shared" si="9"/>
        <v>0</v>
      </c>
      <c r="I105" s="210">
        <f t="shared" si="35"/>
        <v>0</v>
      </c>
      <c r="J105" s="288"/>
      <c r="K105" s="279"/>
      <c r="L105" s="279"/>
      <c r="M105" s="279"/>
      <c r="N105" s="279"/>
      <c r="O105" s="279"/>
      <c r="P105" s="279"/>
      <c r="Q105" s="279"/>
      <c r="S105" s="279"/>
    </row>
    <row r="106" spans="1:19" ht="15" customHeight="1" x14ac:dyDescent="0.35">
      <c r="A106" s="230"/>
      <c r="B106" s="230"/>
      <c r="C106" s="230"/>
      <c r="D106" s="230"/>
      <c r="E106" s="230"/>
      <c r="H106" s="210">
        <f t="shared" si="9"/>
        <v>0</v>
      </c>
      <c r="I106" s="210">
        <f t="shared" si="35"/>
        <v>0</v>
      </c>
      <c r="J106" s="288"/>
      <c r="K106" s="279"/>
      <c r="L106" s="279"/>
      <c r="M106" s="279"/>
      <c r="N106" s="279"/>
      <c r="O106" s="279"/>
      <c r="P106" s="279"/>
      <c r="Q106" s="279"/>
      <c r="S106" s="279"/>
    </row>
    <row r="107" spans="1:19" ht="15" customHeight="1" x14ac:dyDescent="0.35">
      <c r="A107" s="230"/>
      <c r="B107" s="230"/>
      <c r="C107" s="230"/>
      <c r="D107" s="230"/>
      <c r="E107" s="230"/>
      <c r="H107" s="210">
        <f t="shared" si="9"/>
        <v>0</v>
      </c>
      <c r="I107" s="210">
        <f t="shared" si="35"/>
        <v>0</v>
      </c>
      <c r="J107" s="288"/>
      <c r="K107" s="279"/>
      <c r="L107" s="279"/>
      <c r="M107" s="279"/>
      <c r="N107" s="279"/>
      <c r="O107" s="279"/>
      <c r="P107" s="279"/>
      <c r="Q107" s="279"/>
      <c r="S107" s="279"/>
    </row>
    <row r="108" spans="1:19" ht="15" customHeight="1" x14ac:dyDescent="0.35">
      <c r="A108" s="230"/>
      <c r="B108" s="230"/>
      <c r="C108" s="230"/>
      <c r="D108" s="230"/>
      <c r="E108" s="230"/>
      <c r="H108" s="210">
        <f t="shared" si="9"/>
        <v>0</v>
      </c>
      <c r="I108" s="210">
        <f t="shared" si="35"/>
        <v>0</v>
      </c>
      <c r="J108" s="288"/>
      <c r="K108" s="279"/>
      <c r="L108" s="279"/>
      <c r="M108" s="279"/>
      <c r="N108" s="279"/>
      <c r="O108" s="279"/>
      <c r="P108" s="279"/>
      <c r="Q108" s="279"/>
      <c r="S108" s="279"/>
    </row>
    <row r="109" spans="1:19" ht="15" customHeight="1" x14ac:dyDescent="0.35">
      <c r="A109" s="230"/>
      <c r="B109" s="230"/>
      <c r="C109" s="230"/>
      <c r="D109" s="230"/>
      <c r="E109" s="230"/>
      <c r="H109" s="210">
        <f t="shared" si="9"/>
        <v>0</v>
      </c>
      <c r="I109" s="210">
        <f t="shared" si="35"/>
        <v>0</v>
      </c>
      <c r="J109" s="288"/>
      <c r="K109" s="279"/>
      <c r="L109" s="279"/>
      <c r="M109" s="279"/>
      <c r="N109" s="279"/>
      <c r="O109" s="279"/>
      <c r="P109" s="279"/>
      <c r="Q109" s="279"/>
      <c r="S109" s="279"/>
    </row>
    <row r="110" spans="1:19" ht="15" customHeight="1" x14ac:dyDescent="0.35">
      <c r="A110" s="230"/>
      <c r="B110" s="230"/>
      <c r="C110" s="230"/>
      <c r="D110" s="230"/>
      <c r="E110" s="230"/>
      <c r="H110" s="210">
        <f t="shared" si="9"/>
        <v>0</v>
      </c>
      <c r="I110" s="210">
        <f t="shared" si="35"/>
        <v>0</v>
      </c>
      <c r="J110" s="288"/>
      <c r="K110" s="279"/>
      <c r="L110" s="279"/>
      <c r="M110" s="279"/>
      <c r="N110" s="279"/>
      <c r="O110" s="279"/>
      <c r="P110" s="279"/>
      <c r="Q110" s="279"/>
      <c r="S110" s="279"/>
    </row>
    <row r="111" spans="1:19" ht="15" customHeight="1" x14ac:dyDescent="0.35">
      <c r="A111" s="230"/>
      <c r="B111" s="230"/>
      <c r="C111" s="230"/>
      <c r="D111" s="230"/>
      <c r="E111" s="230"/>
      <c r="H111" s="210">
        <f t="shared" si="9"/>
        <v>0</v>
      </c>
      <c r="I111" s="210">
        <f t="shared" si="35"/>
        <v>0</v>
      </c>
      <c r="J111" s="288"/>
      <c r="K111" s="279"/>
      <c r="L111" s="279"/>
      <c r="M111" s="279"/>
      <c r="N111" s="279"/>
      <c r="O111" s="279"/>
      <c r="P111" s="279"/>
      <c r="Q111" s="279"/>
      <c r="S111" s="279"/>
    </row>
    <row r="112" spans="1:19" ht="15" customHeight="1" x14ac:dyDescent="0.35">
      <c r="A112" s="230"/>
      <c r="B112" s="230"/>
      <c r="C112" s="230"/>
      <c r="D112" s="230"/>
      <c r="E112" s="230"/>
      <c r="H112" s="210">
        <f t="shared" si="9"/>
        <v>0</v>
      </c>
      <c r="I112" s="210">
        <f t="shared" si="35"/>
        <v>0</v>
      </c>
      <c r="J112" s="288"/>
      <c r="K112" s="279"/>
      <c r="L112" s="279"/>
      <c r="M112" s="279"/>
      <c r="N112" s="279"/>
      <c r="O112" s="279"/>
      <c r="P112" s="279"/>
      <c r="Q112" s="279"/>
      <c r="S112" s="279"/>
    </row>
    <row r="113" spans="1:19" ht="15" customHeight="1" x14ac:dyDescent="0.35">
      <c r="A113" s="230"/>
      <c r="B113" s="230"/>
      <c r="C113" s="230"/>
      <c r="D113" s="230"/>
      <c r="E113" s="230"/>
      <c r="H113" s="210">
        <f t="shared" si="9"/>
        <v>0</v>
      </c>
      <c r="I113" s="210">
        <f t="shared" si="35"/>
        <v>0</v>
      </c>
      <c r="J113" s="288"/>
      <c r="K113" s="279"/>
      <c r="L113" s="279"/>
      <c r="M113" s="279"/>
      <c r="N113" s="279"/>
      <c r="O113" s="279"/>
      <c r="P113" s="279"/>
      <c r="Q113" s="279"/>
      <c r="S113" s="279"/>
    </row>
    <row r="114" spans="1:19" ht="15" customHeight="1" x14ac:dyDescent="0.35">
      <c r="A114" s="230"/>
      <c r="B114" s="230"/>
      <c r="C114" s="230"/>
      <c r="D114" s="230"/>
      <c r="E114" s="230"/>
      <c r="H114" s="210">
        <f t="shared" si="9"/>
        <v>0</v>
      </c>
      <c r="I114" s="210">
        <f t="shared" si="35"/>
        <v>0</v>
      </c>
      <c r="J114" s="288"/>
      <c r="K114" s="279"/>
      <c r="L114" s="279"/>
      <c r="M114" s="279"/>
      <c r="N114" s="279"/>
      <c r="O114" s="279"/>
      <c r="P114" s="279"/>
      <c r="Q114" s="279"/>
      <c r="S114" s="279"/>
    </row>
    <row r="115" spans="1:19" ht="15" customHeight="1" x14ac:dyDescent="0.35">
      <c r="A115" s="230"/>
      <c r="B115" s="230"/>
      <c r="C115" s="230"/>
      <c r="D115" s="230"/>
      <c r="E115" s="230"/>
      <c r="H115" s="210">
        <f t="shared" si="9"/>
        <v>0</v>
      </c>
      <c r="I115" s="210">
        <f t="shared" si="35"/>
        <v>0</v>
      </c>
      <c r="J115" s="288"/>
      <c r="K115" s="279"/>
      <c r="L115" s="279"/>
      <c r="M115" s="279"/>
      <c r="N115" s="279"/>
      <c r="O115" s="279"/>
      <c r="P115" s="279"/>
      <c r="Q115" s="279"/>
      <c r="S115" s="279"/>
    </row>
    <row r="116" spans="1:19" ht="15" customHeight="1" x14ac:dyDescent="0.35">
      <c r="A116" s="230"/>
      <c r="B116" s="230"/>
      <c r="C116" s="230"/>
      <c r="D116" s="230"/>
      <c r="E116" s="230"/>
      <c r="H116" s="210">
        <f t="shared" si="9"/>
        <v>0</v>
      </c>
      <c r="I116" s="210">
        <f t="shared" si="35"/>
        <v>0</v>
      </c>
      <c r="J116" s="288"/>
      <c r="K116" s="279"/>
      <c r="L116" s="279"/>
      <c r="M116" s="279"/>
      <c r="N116" s="279"/>
      <c r="O116" s="279"/>
      <c r="P116" s="279"/>
      <c r="Q116" s="279"/>
      <c r="S116" s="279"/>
    </row>
    <row r="117" spans="1:19" ht="15" customHeight="1" x14ac:dyDescent="0.35">
      <c r="A117" s="230"/>
      <c r="B117" s="230"/>
      <c r="C117" s="230"/>
      <c r="D117" s="230"/>
      <c r="E117" s="230"/>
      <c r="H117" s="210">
        <f t="shared" si="9"/>
        <v>0</v>
      </c>
      <c r="I117" s="210">
        <f t="shared" si="35"/>
        <v>0</v>
      </c>
      <c r="J117" s="288"/>
      <c r="K117" s="279"/>
      <c r="L117" s="279"/>
      <c r="M117" s="279"/>
      <c r="N117" s="279"/>
      <c r="O117" s="279"/>
      <c r="P117" s="279"/>
      <c r="Q117" s="279"/>
      <c r="S117" s="279"/>
    </row>
    <row r="118" spans="1:19" ht="15" customHeight="1" x14ac:dyDescent="0.35">
      <c r="A118" s="230"/>
      <c r="B118" s="230"/>
      <c r="C118" s="230"/>
      <c r="D118" s="230"/>
      <c r="E118" s="230"/>
      <c r="H118" s="210">
        <f t="shared" si="9"/>
        <v>0</v>
      </c>
      <c r="I118" s="210">
        <f t="shared" si="35"/>
        <v>0</v>
      </c>
      <c r="J118" s="288"/>
      <c r="K118" s="279"/>
      <c r="L118" s="279"/>
      <c r="M118" s="279"/>
      <c r="N118" s="279"/>
      <c r="O118" s="279"/>
      <c r="P118" s="279"/>
      <c r="Q118" s="279"/>
      <c r="S118" s="279"/>
    </row>
    <row r="119" spans="1:19" ht="15" customHeight="1" x14ac:dyDescent="0.35">
      <c r="A119" s="230"/>
      <c r="B119" s="230"/>
      <c r="C119" s="230"/>
      <c r="D119" s="230"/>
      <c r="E119" s="230"/>
      <c r="H119" s="210">
        <f t="shared" si="9"/>
        <v>0</v>
      </c>
      <c r="I119" s="210">
        <f t="shared" si="35"/>
        <v>0</v>
      </c>
      <c r="J119" s="288"/>
      <c r="K119" s="279"/>
      <c r="L119" s="279"/>
      <c r="M119" s="279"/>
      <c r="N119" s="279"/>
      <c r="O119" s="279"/>
      <c r="P119" s="279"/>
      <c r="Q119" s="279"/>
      <c r="S119" s="279"/>
    </row>
    <row r="120" spans="1:19" ht="15" customHeight="1" x14ac:dyDescent="0.35">
      <c r="A120" s="230"/>
      <c r="B120" s="230"/>
      <c r="C120" s="230"/>
      <c r="D120" s="230"/>
      <c r="E120" s="230"/>
      <c r="H120" s="210">
        <f t="shared" si="9"/>
        <v>0</v>
      </c>
      <c r="I120" s="210">
        <f t="shared" si="35"/>
        <v>0</v>
      </c>
      <c r="J120" s="288"/>
      <c r="K120" s="279"/>
      <c r="L120" s="279"/>
      <c r="M120" s="279"/>
      <c r="N120" s="279"/>
      <c r="O120" s="279"/>
      <c r="P120" s="279"/>
      <c r="Q120" s="279"/>
      <c r="S120" s="279"/>
    </row>
    <row r="121" spans="1:19" ht="15" customHeight="1" x14ac:dyDescent="0.35">
      <c r="A121" s="230"/>
      <c r="B121" s="230"/>
      <c r="C121" s="230"/>
      <c r="D121" s="230"/>
      <c r="E121" s="230"/>
      <c r="H121" s="210">
        <f t="shared" si="9"/>
        <v>0</v>
      </c>
      <c r="I121" s="210">
        <f t="shared" si="35"/>
        <v>0</v>
      </c>
      <c r="J121" s="288"/>
      <c r="K121" s="279"/>
      <c r="L121" s="279"/>
      <c r="M121" s="279"/>
      <c r="N121" s="279"/>
      <c r="O121" s="279"/>
      <c r="P121" s="279"/>
      <c r="Q121" s="279"/>
      <c r="S121" s="279"/>
    </row>
    <row r="122" spans="1:19" ht="15" customHeight="1" x14ac:dyDescent="0.35">
      <c r="A122" s="230"/>
      <c r="B122" s="230"/>
      <c r="C122" s="230"/>
      <c r="D122" s="230"/>
      <c r="E122" s="230"/>
      <c r="H122" s="210">
        <f t="shared" si="9"/>
        <v>0</v>
      </c>
      <c r="I122" s="210">
        <f t="shared" si="35"/>
        <v>0</v>
      </c>
      <c r="J122" s="288"/>
      <c r="K122" s="279"/>
      <c r="L122" s="279"/>
      <c r="M122" s="279"/>
      <c r="N122" s="279"/>
      <c r="O122" s="279"/>
      <c r="P122" s="279"/>
      <c r="Q122" s="279"/>
      <c r="S122" s="279"/>
    </row>
    <row r="123" spans="1:19" ht="15" customHeight="1" x14ac:dyDescent="0.35">
      <c r="A123" s="230"/>
      <c r="B123" s="230"/>
      <c r="C123" s="230"/>
      <c r="D123" s="230"/>
      <c r="E123" s="230"/>
      <c r="H123" s="210">
        <f t="shared" si="9"/>
        <v>0</v>
      </c>
      <c r="I123" s="210">
        <f t="shared" si="35"/>
        <v>0</v>
      </c>
      <c r="J123" s="288"/>
      <c r="K123" s="279"/>
      <c r="L123" s="279"/>
      <c r="M123" s="279"/>
      <c r="N123" s="279"/>
      <c r="O123" s="279"/>
      <c r="P123" s="279"/>
      <c r="Q123" s="279"/>
      <c r="S123" s="279"/>
    </row>
    <row r="124" spans="1:19" ht="15" customHeight="1" x14ac:dyDescent="0.35">
      <c r="A124" s="230"/>
      <c r="B124" s="230"/>
      <c r="C124" s="230"/>
      <c r="D124" s="230"/>
      <c r="E124" s="230"/>
      <c r="H124" s="210">
        <f t="shared" si="9"/>
        <v>0</v>
      </c>
      <c r="I124" s="210">
        <f t="shared" si="35"/>
        <v>0</v>
      </c>
      <c r="J124" s="288"/>
      <c r="K124" s="279"/>
      <c r="L124" s="279"/>
      <c r="M124" s="279"/>
      <c r="N124" s="279"/>
      <c r="O124" s="279"/>
      <c r="P124" s="279"/>
      <c r="Q124" s="279"/>
      <c r="S124" s="279"/>
    </row>
    <row r="125" spans="1:19" ht="15" customHeight="1" x14ac:dyDescent="0.35">
      <c r="A125" s="230"/>
      <c r="B125" s="230"/>
      <c r="C125" s="230"/>
      <c r="D125" s="230"/>
      <c r="E125" s="230"/>
      <c r="H125" s="210">
        <f t="shared" si="9"/>
        <v>0</v>
      </c>
      <c r="I125" s="210">
        <f t="shared" si="35"/>
        <v>0</v>
      </c>
      <c r="J125" s="288"/>
      <c r="K125" s="279"/>
      <c r="L125" s="279"/>
      <c r="M125" s="279"/>
      <c r="N125" s="279"/>
      <c r="O125" s="279"/>
      <c r="P125" s="279"/>
      <c r="Q125" s="279"/>
      <c r="S125" s="279"/>
    </row>
    <row r="126" spans="1:19" ht="15" customHeight="1" x14ac:dyDescent="0.35">
      <c r="A126" s="230"/>
      <c r="B126" s="230"/>
      <c r="C126" s="230"/>
      <c r="D126" s="230"/>
      <c r="E126" s="230"/>
      <c r="H126" s="210">
        <f t="shared" si="9"/>
        <v>0</v>
      </c>
      <c r="I126" s="210">
        <f t="shared" si="35"/>
        <v>0</v>
      </c>
      <c r="J126" s="288"/>
      <c r="K126" s="279"/>
      <c r="L126" s="279"/>
      <c r="M126" s="279"/>
      <c r="N126" s="279"/>
      <c r="O126" s="279"/>
      <c r="P126" s="279"/>
      <c r="Q126" s="279"/>
      <c r="S126" s="279"/>
    </row>
    <row r="127" spans="1:19" ht="15" customHeight="1" x14ac:dyDescent="0.35">
      <c r="A127" s="230"/>
      <c r="B127" s="230"/>
      <c r="C127" s="230"/>
      <c r="D127" s="230"/>
      <c r="E127" s="230"/>
      <c r="H127" s="210">
        <f t="shared" si="9"/>
        <v>0</v>
      </c>
      <c r="I127" s="210">
        <f t="shared" si="35"/>
        <v>0</v>
      </c>
      <c r="J127" s="288"/>
      <c r="K127" s="279"/>
      <c r="L127" s="279"/>
      <c r="M127" s="279"/>
      <c r="N127" s="279"/>
      <c r="O127" s="279"/>
      <c r="P127" s="279"/>
      <c r="Q127" s="279"/>
      <c r="S127" s="279"/>
    </row>
    <row r="128" spans="1:19" ht="15" customHeight="1" x14ac:dyDescent="0.35">
      <c r="A128" s="230"/>
      <c r="B128" s="230"/>
      <c r="C128" s="230"/>
      <c r="D128" s="230"/>
      <c r="E128" s="230"/>
      <c r="H128" s="210">
        <f t="shared" si="9"/>
        <v>0</v>
      </c>
      <c r="I128" s="210">
        <f t="shared" si="35"/>
        <v>0</v>
      </c>
      <c r="J128" s="288"/>
      <c r="K128" s="279"/>
      <c r="L128" s="279"/>
      <c r="M128" s="279"/>
      <c r="N128" s="279"/>
      <c r="O128" s="279"/>
      <c r="P128" s="279"/>
      <c r="Q128" s="279"/>
      <c r="S128" s="279"/>
    </row>
    <row r="129" spans="1:19" ht="15" customHeight="1" x14ac:dyDescent="0.35">
      <c r="A129" s="230"/>
      <c r="B129" s="230"/>
      <c r="C129" s="230"/>
      <c r="D129" s="230"/>
      <c r="E129" s="230"/>
      <c r="H129" s="210">
        <f t="shared" si="9"/>
        <v>0</v>
      </c>
      <c r="I129" s="210">
        <f t="shared" si="35"/>
        <v>0</v>
      </c>
      <c r="J129" s="288"/>
      <c r="K129" s="279"/>
      <c r="L129" s="279"/>
      <c r="M129" s="279"/>
      <c r="N129" s="279"/>
      <c r="O129" s="279"/>
      <c r="P129" s="279"/>
      <c r="Q129" s="279"/>
      <c r="S129" s="279"/>
    </row>
    <row r="130" spans="1:19" ht="15" customHeight="1" x14ac:dyDescent="0.35">
      <c r="A130" s="230"/>
      <c r="B130" s="230"/>
      <c r="C130" s="230"/>
      <c r="D130" s="230"/>
      <c r="E130" s="230"/>
      <c r="H130" s="210">
        <f t="shared" si="9"/>
        <v>0</v>
      </c>
      <c r="I130" s="210">
        <f t="shared" si="35"/>
        <v>0</v>
      </c>
      <c r="J130" s="288"/>
      <c r="K130" s="279"/>
      <c r="L130" s="279"/>
      <c r="M130" s="279"/>
      <c r="N130" s="279"/>
      <c r="O130" s="279"/>
      <c r="P130" s="279"/>
      <c r="Q130" s="279"/>
      <c r="S130" s="279"/>
    </row>
    <row r="131" spans="1:19" ht="15" customHeight="1" x14ac:dyDescent="0.35">
      <c r="A131" s="230"/>
      <c r="B131" s="230"/>
      <c r="C131" s="230"/>
      <c r="D131" s="230"/>
      <c r="E131" s="230"/>
      <c r="H131" s="210">
        <f t="shared" si="9"/>
        <v>0</v>
      </c>
      <c r="I131" s="210">
        <f t="shared" si="35"/>
        <v>0</v>
      </c>
      <c r="J131" s="288"/>
      <c r="K131" s="279"/>
      <c r="L131" s="279"/>
      <c r="M131" s="279"/>
      <c r="N131" s="279"/>
      <c r="O131" s="279"/>
      <c r="P131" s="279"/>
      <c r="Q131" s="279"/>
      <c r="S131" s="279"/>
    </row>
    <row r="132" spans="1:19" ht="15" customHeight="1" x14ac:dyDescent="0.35">
      <c r="A132" s="230"/>
      <c r="B132" s="230"/>
      <c r="C132" s="230"/>
      <c r="D132" s="230"/>
      <c r="E132" s="230"/>
      <c r="H132" s="210">
        <f t="shared" si="9"/>
        <v>0</v>
      </c>
      <c r="I132" s="210">
        <f t="shared" si="35"/>
        <v>0</v>
      </c>
      <c r="J132" s="288"/>
      <c r="K132" s="279"/>
      <c r="L132" s="279"/>
      <c r="M132" s="279"/>
      <c r="N132" s="279"/>
      <c r="O132" s="279"/>
      <c r="P132" s="279"/>
      <c r="Q132" s="279"/>
      <c r="S132" s="279"/>
    </row>
    <row r="133" spans="1:19" ht="15" customHeight="1" x14ac:dyDescent="0.35">
      <c r="A133" s="230"/>
      <c r="B133" s="230"/>
      <c r="C133" s="230"/>
      <c r="D133" s="230"/>
      <c r="E133" s="230"/>
      <c r="H133" s="210">
        <f t="shared" si="9"/>
        <v>0</v>
      </c>
      <c r="I133" s="210">
        <f t="shared" si="35"/>
        <v>0</v>
      </c>
      <c r="J133" s="288"/>
      <c r="K133" s="279"/>
      <c r="L133" s="279"/>
      <c r="M133" s="279"/>
      <c r="N133" s="279"/>
      <c r="O133" s="279"/>
      <c r="P133" s="279"/>
      <c r="Q133" s="279"/>
      <c r="S133" s="279"/>
    </row>
    <row r="134" spans="1:19" ht="15" customHeight="1" x14ac:dyDescent="0.35">
      <c r="A134" s="230"/>
      <c r="B134" s="230"/>
      <c r="C134" s="230"/>
      <c r="D134" s="230"/>
      <c r="E134" s="230"/>
      <c r="H134" s="210">
        <f t="shared" si="9"/>
        <v>0</v>
      </c>
      <c r="I134" s="210">
        <f t="shared" ref="I134:I169" si="36">IF(K134&gt;0,1,0)</f>
        <v>0</v>
      </c>
      <c r="J134" s="288"/>
      <c r="K134" s="279"/>
      <c r="L134" s="279"/>
      <c r="M134" s="279"/>
      <c r="N134" s="279"/>
      <c r="O134" s="279"/>
      <c r="P134" s="279"/>
      <c r="Q134" s="279"/>
      <c r="S134" s="279"/>
    </row>
    <row r="135" spans="1:19" ht="15" customHeight="1" x14ac:dyDescent="0.35">
      <c r="A135" s="230"/>
      <c r="B135" s="230"/>
      <c r="C135" s="230"/>
      <c r="D135" s="230"/>
      <c r="E135" s="230"/>
      <c r="H135" s="210">
        <f t="shared" si="9"/>
        <v>0</v>
      </c>
      <c r="I135" s="210">
        <f t="shared" si="36"/>
        <v>0</v>
      </c>
      <c r="J135" s="288"/>
      <c r="K135" s="279"/>
      <c r="L135" s="279"/>
      <c r="M135" s="279"/>
      <c r="N135" s="279"/>
      <c r="O135" s="279"/>
      <c r="P135" s="279"/>
      <c r="Q135" s="279"/>
      <c r="S135" s="279"/>
    </row>
    <row r="136" spans="1:19" ht="15" customHeight="1" x14ac:dyDescent="0.35">
      <c r="A136" s="230"/>
      <c r="B136" s="230"/>
      <c r="C136" s="230"/>
      <c r="D136" s="230"/>
      <c r="E136" s="230"/>
      <c r="H136" s="210">
        <f t="shared" ref="H136:H169" si="37">IF(AND(I136=0,I137=1),1,0)</f>
        <v>0</v>
      </c>
      <c r="I136" s="210">
        <f t="shared" si="36"/>
        <v>0</v>
      </c>
      <c r="J136" s="288"/>
      <c r="K136" s="279"/>
      <c r="L136" s="279"/>
      <c r="M136" s="279"/>
      <c r="N136" s="279"/>
      <c r="O136" s="279"/>
      <c r="P136" s="279"/>
      <c r="Q136" s="279"/>
      <c r="S136" s="279"/>
    </row>
    <row r="137" spans="1:19" ht="15" customHeight="1" x14ac:dyDescent="0.35">
      <c r="A137" s="230"/>
      <c r="B137" s="230"/>
      <c r="C137" s="230"/>
      <c r="D137" s="230"/>
      <c r="E137" s="230"/>
      <c r="H137" s="210">
        <f t="shared" si="37"/>
        <v>0</v>
      </c>
      <c r="I137" s="210">
        <f t="shared" si="36"/>
        <v>0</v>
      </c>
      <c r="J137" s="288"/>
      <c r="K137" s="279"/>
      <c r="L137" s="279"/>
      <c r="M137" s="279"/>
      <c r="N137" s="279"/>
      <c r="O137" s="279"/>
      <c r="P137" s="279"/>
      <c r="Q137" s="279"/>
      <c r="S137" s="279"/>
    </row>
    <row r="138" spans="1:19" ht="15" customHeight="1" x14ac:dyDescent="0.35">
      <c r="A138" s="230"/>
      <c r="B138" s="230"/>
      <c r="C138" s="230"/>
      <c r="D138" s="230"/>
      <c r="E138" s="230"/>
      <c r="H138" s="210">
        <f t="shared" si="37"/>
        <v>0</v>
      </c>
      <c r="I138" s="210">
        <f t="shared" si="36"/>
        <v>0</v>
      </c>
      <c r="J138" s="288"/>
      <c r="K138" s="279"/>
      <c r="L138" s="279"/>
      <c r="M138" s="279"/>
      <c r="N138" s="279"/>
      <c r="O138" s="279"/>
      <c r="P138" s="279"/>
      <c r="Q138" s="279"/>
      <c r="S138" s="279"/>
    </row>
    <row r="139" spans="1:19" ht="15" customHeight="1" x14ac:dyDescent="0.35">
      <c r="A139" s="230"/>
      <c r="B139" s="230"/>
      <c r="C139" s="230"/>
      <c r="D139" s="230"/>
      <c r="E139" s="230"/>
      <c r="H139" s="210">
        <f t="shared" si="37"/>
        <v>0</v>
      </c>
      <c r="I139" s="210">
        <f t="shared" si="36"/>
        <v>0</v>
      </c>
      <c r="J139" s="288"/>
      <c r="K139" s="279"/>
      <c r="L139" s="279"/>
      <c r="M139" s="279"/>
      <c r="N139" s="279"/>
      <c r="O139" s="279"/>
      <c r="P139" s="279"/>
      <c r="Q139" s="279"/>
      <c r="S139" s="279"/>
    </row>
    <row r="140" spans="1:19" ht="15" customHeight="1" x14ac:dyDescent="0.35">
      <c r="A140" s="230"/>
      <c r="B140" s="230"/>
      <c r="C140" s="230"/>
      <c r="D140" s="230"/>
      <c r="E140" s="230"/>
      <c r="H140" s="210">
        <f t="shared" si="37"/>
        <v>0</v>
      </c>
      <c r="I140" s="210">
        <f t="shared" si="36"/>
        <v>0</v>
      </c>
      <c r="J140" s="288"/>
      <c r="K140" s="279"/>
      <c r="L140" s="279"/>
      <c r="M140" s="279"/>
      <c r="N140" s="279"/>
      <c r="O140" s="279"/>
      <c r="P140" s="279"/>
      <c r="Q140" s="279"/>
      <c r="S140" s="279"/>
    </row>
    <row r="141" spans="1:19" ht="15" customHeight="1" x14ac:dyDescent="0.35">
      <c r="A141" s="230"/>
      <c r="B141" s="230"/>
      <c r="C141" s="230"/>
      <c r="D141" s="230"/>
      <c r="E141" s="230"/>
      <c r="H141" s="210">
        <f t="shared" si="37"/>
        <v>0</v>
      </c>
      <c r="I141" s="210">
        <f t="shared" si="36"/>
        <v>0</v>
      </c>
      <c r="J141" s="288"/>
      <c r="K141" s="279"/>
      <c r="L141" s="279"/>
      <c r="M141" s="279"/>
      <c r="N141" s="279"/>
      <c r="O141" s="279"/>
      <c r="P141" s="279"/>
      <c r="Q141" s="279"/>
      <c r="S141" s="279"/>
    </row>
    <row r="142" spans="1:19" ht="15" customHeight="1" x14ac:dyDescent="0.35">
      <c r="A142" s="230"/>
      <c r="B142" s="230"/>
      <c r="C142" s="230"/>
      <c r="D142" s="230"/>
      <c r="E142" s="230"/>
      <c r="H142" s="210">
        <f t="shared" si="37"/>
        <v>0</v>
      </c>
      <c r="I142" s="210">
        <f t="shared" si="36"/>
        <v>0</v>
      </c>
      <c r="J142" s="288"/>
      <c r="K142" s="279"/>
      <c r="L142" s="279"/>
      <c r="M142" s="279"/>
      <c r="N142" s="279"/>
      <c r="O142" s="279"/>
      <c r="P142" s="279"/>
      <c r="Q142" s="279"/>
      <c r="S142" s="279"/>
    </row>
    <row r="143" spans="1:19" ht="15" customHeight="1" x14ac:dyDescent="0.35">
      <c r="A143" s="230"/>
      <c r="B143" s="230"/>
      <c r="C143" s="230"/>
      <c r="D143" s="230"/>
      <c r="E143" s="230"/>
      <c r="H143" s="210">
        <f t="shared" si="37"/>
        <v>0</v>
      </c>
      <c r="I143" s="210">
        <f t="shared" si="36"/>
        <v>0</v>
      </c>
      <c r="J143" s="288"/>
      <c r="K143" s="279"/>
      <c r="L143" s="279"/>
      <c r="M143" s="279"/>
      <c r="N143" s="279"/>
      <c r="O143" s="279"/>
      <c r="P143" s="279"/>
      <c r="Q143" s="279"/>
      <c r="S143" s="279"/>
    </row>
    <row r="144" spans="1:19" ht="15" customHeight="1" x14ac:dyDescent="0.35">
      <c r="A144" s="230"/>
      <c r="B144" s="230"/>
      <c r="C144" s="230"/>
      <c r="D144" s="230"/>
      <c r="E144" s="230"/>
      <c r="H144" s="210">
        <f t="shared" si="37"/>
        <v>0</v>
      </c>
      <c r="I144" s="210">
        <f t="shared" si="36"/>
        <v>0</v>
      </c>
      <c r="J144" s="288"/>
      <c r="K144" s="279"/>
      <c r="L144" s="279"/>
      <c r="M144" s="279"/>
      <c r="N144" s="279"/>
      <c r="O144" s="279"/>
      <c r="P144" s="279"/>
      <c r="Q144" s="279"/>
      <c r="S144" s="279"/>
    </row>
    <row r="145" spans="1:24" ht="15" customHeight="1" x14ac:dyDescent="0.35">
      <c r="A145" s="230"/>
      <c r="B145" s="230"/>
      <c r="C145" s="230"/>
      <c r="D145" s="230"/>
      <c r="E145" s="230"/>
      <c r="H145" s="210">
        <f t="shared" si="37"/>
        <v>0</v>
      </c>
      <c r="I145" s="210">
        <f t="shared" si="36"/>
        <v>0</v>
      </c>
      <c r="J145" s="288"/>
      <c r="K145" s="279"/>
      <c r="L145" s="279"/>
      <c r="M145" s="279"/>
      <c r="N145" s="279"/>
      <c r="O145" s="279"/>
      <c r="P145" s="279"/>
      <c r="Q145" s="279"/>
      <c r="S145" s="279"/>
    </row>
    <row r="146" spans="1:24" ht="15" customHeight="1" x14ac:dyDescent="0.35">
      <c r="A146" s="230"/>
      <c r="B146" s="230"/>
      <c r="C146" s="230"/>
      <c r="D146" s="230"/>
      <c r="E146" s="230"/>
      <c r="H146" s="210">
        <f t="shared" si="37"/>
        <v>0</v>
      </c>
      <c r="I146" s="210">
        <f t="shared" si="36"/>
        <v>0</v>
      </c>
      <c r="J146" s="288"/>
      <c r="K146" s="279"/>
      <c r="L146" s="279"/>
      <c r="M146" s="279"/>
      <c r="N146" s="279"/>
      <c r="O146" s="279"/>
      <c r="P146" s="279"/>
      <c r="Q146" s="279"/>
      <c r="S146" s="279"/>
    </row>
    <row r="147" spans="1:24" ht="15" customHeight="1" x14ac:dyDescent="0.35">
      <c r="A147" s="230"/>
      <c r="B147" s="230"/>
      <c r="C147" s="230"/>
      <c r="D147" s="230"/>
      <c r="E147" s="230"/>
      <c r="H147" s="210">
        <f t="shared" si="37"/>
        <v>0</v>
      </c>
      <c r="I147" s="210">
        <f t="shared" si="36"/>
        <v>0</v>
      </c>
      <c r="J147" s="288"/>
      <c r="K147" s="279"/>
      <c r="L147" s="279"/>
      <c r="M147" s="279"/>
      <c r="N147" s="279"/>
      <c r="O147" s="279"/>
      <c r="P147" s="279"/>
      <c r="Q147" s="279"/>
      <c r="S147" s="279"/>
    </row>
    <row r="148" spans="1:24" ht="15" customHeight="1" x14ac:dyDescent="0.35">
      <c r="A148" s="230"/>
      <c r="B148" s="230"/>
      <c r="C148" s="230"/>
      <c r="D148" s="230"/>
      <c r="E148" s="230"/>
      <c r="H148" s="210">
        <f t="shared" si="37"/>
        <v>0</v>
      </c>
      <c r="I148" s="210">
        <f t="shared" si="36"/>
        <v>0</v>
      </c>
      <c r="J148" s="288"/>
      <c r="K148" s="279"/>
      <c r="L148" s="279"/>
      <c r="M148" s="279"/>
      <c r="N148" s="279"/>
      <c r="O148" s="279"/>
      <c r="P148" s="279"/>
      <c r="Q148" s="279"/>
      <c r="S148" s="279"/>
    </row>
    <row r="149" spans="1:24" ht="15" customHeight="1" x14ac:dyDescent="0.35">
      <c r="A149" s="230"/>
      <c r="B149" s="230"/>
      <c r="C149" s="230"/>
      <c r="D149" s="230"/>
      <c r="E149" s="230"/>
      <c r="H149" s="210">
        <f t="shared" si="37"/>
        <v>0</v>
      </c>
      <c r="I149" s="210">
        <f t="shared" si="36"/>
        <v>0</v>
      </c>
      <c r="J149" s="288"/>
      <c r="K149" s="279"/>
      <c r="L149" s="279"/>
      <c r="M149" s="279"/>
      <c r="N149" s="279"/>
      <c r="O149" s="279"/>
      <c r="P149" s="279"/>
      <c r="Q149" s="279"/>
      <c r="S149" s="279"/>
    </row>
    <row r="150" spans="1:24" ht="15" customHeight="1" x14ac:dyDescent="0.35">
      <c r="A150" s="230"/>
      <c r="B150" s="230"/>
      <c r="C150" s="230"/>
      <c r="D150" s="230"/>
      <c r="E150" s="230"/>
      <c r="H150" s="210">
        <f t="shared" si="37"/>
        <v>0</v>
      </c>
      <c r="I150" s="210">
        <f t="shared" si="36"/>
        <v>0</v>
      </c>
      <c r="J150" s="288"/>
      <c r="K150" s="279"/>
      <c r="L150" s="279"/>
      <c r="M150" s="279"/>
      <c r="N150" s="279"/>
      <c r="O150" s="279"/>
      <c r="P150" s="279"/>
      <c r="Q150" s="279"/>
      <c r="S150" s="279"/>
    </row>
    <row r="151" spans="1:24" ht="15" customHeight="1" x14ac:dyDescent="0.35">
      <c r="A151" s="230"/>
      <c r="B151" s="230"/>
      <c r="C151" s="230"/>
      <c r="D151" s="230"/>
      <c r="E151" s="230"/>
      <c r="H151" s="210">
        <f t="shared" si="37"/>
        <v>0</v>
      </c>
      <c r="I151" s="210">
        <f t="shared" si="36"/>
        <v>0</v>
      </c>
      <c r="J151" s="288"/>
      <c r="K151" s="279"/>
      <c r="L151" s="279"/>
      <c r="M151" s="279"/>
      <c r="N151" s="279"/>
      <c r="O151" s="279"/>
      <c r="P151" s="279"/>
      <c r="Q151" s="279"/>
      <c r="S151" s="279"/>
    </row>
    <row r="152" spans="1:24" ht="15" customHeight="1" x14ac:dyDescent="0.35">
      <c r="A152" s="230"/>
      <c r="B152" s="230"/>
      <c r="C152" s="230"/>
      <c r="D152" s="230"/>
      <c r="E152" s="230"/>
      <c r="H152" s="210">
        <f t="shared" si="37"/>
        <v>0</v>
      </c>
      <c r="I152" s="210">
        <f t="shared" si="36"/>
        <v>0</v>
      </c>
      <c r="J152" s="288"/>
      <c r="K152" s="279"/>
      <c r="L152" s="279"/>
      <c r="M152" s="279"/>
      <c r="N152" s="279"/>
      <c r="O152" s="279"/>
      <c r="P152" s="279"/>
      <c r="Q152" s="279"/>
      <c r="S152" s="279"/>
    </row>
    <row r="153" spans="1:24" ht="15" customHeight="1" x14ac:dyDescent="0.35">
      <c r="A153" s="230"/>
      <c r="B153" s="230"/>
      <c r="C153" s="230"/>
      <c r="D153" s="230"/>
      <c r="E153" s="230"/>
      <c r="H153" s="210">
        <f t="shared" si="37"/>
        <v>0</v>
      </c>
      <c r="I153" s="210">
        <f t="shared" si="36"/>
        <v>0</v>
      </c>
      <c r="J153" s="288"/>
      <c r="K153" s="279"/>
      <c r="L153" s="279"/>
      <c r="M153" s="279"/>
      <c r="N153" s="279"/>
      <c r="O153" s="279"/>
      <c r="P153" s="279"/>
      <c r="Q153" s="279"/>
      <c r="S153" s="279"/>
    </row>
    <row r="154" spans="1:24" ht="15" customHeight="1" x14ac:dyDescent="0.35">
      <c r="A154" s="230"/>
      <c r="B154" s="230"/>
      <c r="C154" s="230"/>
      <c r="D154" s="230"/>
      <c r="E154" s="230"/>
      <c r="H154" s="210">
        <f t="shared" si="37"/>
        <v>0</v>
      </c>
      <c r="I154" s="210">
        <f t="shared" si="36"/>
        <v>0</v>
      </c>
      <c r="J154" s="288"/>
      <c r="K154" s="279"/>
      <c r="L154" s="279"/>
      <c r="M154" s="279"/>
      <c r="N154" s="279"/>
      <c r="O154" s="279"/>
      <c r="P154" s="279"/>
      <c r="Q154" s="279"/>
      <c r="S154" s="279"/>
    </row>
    <row r="155" spans="1:24" ht="15" customHeight="1" x14ac:dyDescent="0.35">
      <c r="A155" s="230"/>
      <c r="B155" s="230"/>
      <c r="C155" s="230"/>
      <c r="D155" s="230"/>
      <c r="E155" s="230"/>
      <c r="H155" s="210">
        <f t="shared" si="37"/>
        <v>0</v>
      </c>
      <c r="I155" s="210">
        <f t="shared" si="36"/>
        <v>0</v>
      </c>
      <c r="J155" s="288"/>
      <c r="K155" s="279"/>
      <c r="L155" s="279"/>
      <c r="M155" s="279"/>
      <c r="N155" s="279"/>
      <c r="O155" s="279"/>
      <c r="P155" s="279"/>
      <c r="Q155" s="279"/>
      <c r="S155" s="279"/>
    </row>
    <row r="156" spans="1:24" ht="15" customHeight="1" x14ac:dyDescent="0.35">
      <c r="A156" s="230"/>
      <c r="B156" s="230"/>
      <c r="C156" s="230"/>
      <c r="D156" s="230"/>
      <c r="E156" s="230"/>
      <c r="H156" s="210">
        <f t="shared" si="37"/>
        <v>0</v>
      </c>
      <c r="I156" s="210">
        <f t="shared" si="36"/>
        <v>0</v>
      </c>
      <c r="J156" s="288"/>
      <c r="K156" s="279"/>
      <c r="L156" s="279"/>
      <c r="M156" s="279"/>
      <c r="N156" s="279"/>
      <c r="O156" s="279"/>
      <c r="P156" s="279"/>
      <c r="Q156" s="279"/>
      <c r="S156" s="279"/>
    </row>
    <row r="157" spans="1:24" ht="15" customHeight="1" x14ac:dyDescent="0.35">
      <c r="A157" s="230"/>
      <c r="B157" s="230"/>
      <c r="C157" s="230"/>
      <c r="D157" s="230"/>
      <c r="E157" s="230"/>
      <c r="H157" s="210">
        <f t="shared" si="37"/>
        <v>0</v>
      </c>
      <c r="I157" s="210">
        <f t="shared" si="36"/>
        <v>0</v>
      </c>
      <c r="J157" s="288"/>
      <c r="K157" s="279"/>
      <c r="L157" s="279"/>
      <c r="M157" s="279"/>
      <c r="N157" s="279"/>
      <c r="O157" s="279"/>
      <c r="P157" s="279"/>
      <c r="Q157" s="279"/>
      <c r="S157" s="279"/>
    </row>
    <row r="158" spans="1:24" ht="15" customHeight="1" x14ac:dyDescent="0.35">
      <c r="A158" s="230"/>
      <c r="B158" s="230"/>
      <c r="C158" s="230"/>
      <c r="D158" s="230"/>
      <c r="E158" s="230"/>
      <c r="H158" s="210">
        <f t="shared" si="37"/>
        <v>0</v>
      </c>
      <c r="I158" s="210">
        <f t="shared" si="36"/>
        <v>0</v>
      </c>
      <c r="J158" s="288"/>
      <c r="K158" s="279"/>
      <c r="L158" s="279"/>
      <c r="M158" s="279"/>
      <c r="N158" s="279"/>
      <c r="O158" s="279"/>
      <c r="P158" s="279"/>
      <c r="Q158" s="279"/>
      <c r="S158" s="279"/>
    </row>
    <row r="159" spans="1:24" ht="15" customHeight="1" x14ac:dyDescent="0.35">
      <c r="A159" s="230"/>
      <c r="B159" s="230"/>
      <c r="C159" s="230"/>
      <c r="D159" s="230"/>
      <c r="E159" s="230"/>
      <c r="H159" s="210">
        <f t="shared" si="37"/>
        <v>0</v>
      </c>
      <c r="I159" s="210">
        <f t="shared" si="36"/>
        <v>0</v>
      </c>
      <c r="J159" s="288"/>
      <c r="K159" s="279"/>
      <c r="L159" s="279"/>
      <c r="M159" s="279"/>
      <c r="N159" s="279"/>
      <c r="O159" s="279"/>
      <c r="P159" s="279"/>
      <c r="Q159" s="279"/>
      <c r="S159" s="279"/>
    </row>
    <row r="160" spans="1:24" ht="15" customHeight="1" x14ac:dyDescent="0.35">
      <c r="A160" s="230"/>
      <c r="B160" s="230"/>
      <c r="C160" s="230"/>
      <c r="D160" s="230"/>
      <c r="E160" s="230"/>
      <c r="H160" s="210">
        <f t="shared" si="37"/>
        <v>0</v>
      </c>
      <c r="I160" s="210">
        <f t="shared" si="36"/>
        <v>0</v>
      </c>
      <c r="J160" s="288"/>
      <c r="K160" s="279"/>
      <c r="L160" s="279"/>
      <c r="M160" s="279"/>
      <c r="N160" s="279"/>
      <c r="O160" s="279"/>
      <c r="P160" s="279"/>
      <c r="Q160" s="279"/>
      <c r="S160" s="279"/>
      <c r="X160" s="268"/>
    </row>
    <row r="161" spans="1:39" ht="15" customHeight="1" x14ac:dyDescent="0.35">
      <c r="A161" s="230"/>
      <c r="B161" s="230"/>
      <c r="C161" s="230"/>
      <c r="D161" s="230"/>
      <c r="E161" s="230"/>
      <c r="H161" s="210">
        <f t="shared" si="37"/>
        <v>0</v>
      </c>
      <c r="I161" s="210">
        <f t="shared" si="36"/>
        <v>0</v>
      </c>
      <c r="J161" s="288"/>
      <c r="K161" s="279"/>
      <c r="L161" s="279"/>
      <c r="M161" s="279"/>
      <c r="N161" s="279"/>
      <c r="O161" s="279"/>
      <c r="P161" s="279"/>
      <c r="Q161" s="279"/>
      <c r="S161" s="279"/>
    </row>
    <row r="162" spans="1:39" ht="15" customHeight="1" x14ac:dyDescent="0.35">
      <c r="A162" s="230"/>
      <c r="B162" s="230"/>
      <c r="C162" s="230"/>
      <c r="D162" s="230"/>
      <c r="E162" s="230"/>
      <c r="H162" s="210">
        <f t="shared" si="37"/>
        <v>0</v>
      </c>
      <c r="I162" s="210">
        <f t="shared" si="36"/>
        <v>0</v>
      </c>
      <c r="J162" s="288"/>
      <c r="K162" s="279"/>
      <c r="L162" s="279"/>
      <c r="M162" s="279"/>
      <c r="N162" s="279"/>
      <c r="O162" s="279"/>
      <c r="P162" s="279"/>
      <c r="Q162" s="279"/>
      <c r="S162" s="279"/>
    </row>
    <row r="163" spans="1:39" ht="15" customHeight="1" x14ac:dyDescent="0.35">
      <c r="A163" s="230"/>
      <c r="B163" s="230"/>
      <c r="C163" s="230"/>
      <c r="D163" s="230"/>
      <c r="E163" s="230"/>
      <c r="H163" s="210">
        <f t="shared" si="37"/>
        <v>0</v>
      </c>
      <c r="I163" s="210">
        <f t="shared" si="36"/>
        <v>0</v>
      </c>
      <c r="J163" s="288"/>
      <c r="K163" s="279"/>
      <c r="L163" s="279"/>
      <c r="M163" s="279"/>
      <c r="N163" s="279"/>
      <c r="O163" s="279"/>
      <c r="P163" s="279"/>
      <c r="Q163" s="279"/>
      <c r="S163" s="279"/>
    </row>
    <row r="164" spans="1:39" ht="15" customHeight="1" x14ac:dyDescent="0.35">
      <c r="A164" s="230"/>
      <c r="B164" s="230"/>
      <c r="C164" s="230"/>
      <c r="D164" s="230"/>
      <c r="E164" s="230"/>
      <c r="H164" s="210">
        <f t="shared" si="37"/>
        <v>0</v>
      </c>
      <c r="I164" s="210">
        <f t="shared" si="36"/>
        <v>0</v>
      </c>
      <c r="J164" s="288"/>
      <c r="K164" s="279"/>
      <c r="L164" s="279"/>
      <c r="M164" s="279"/>
      <c r="N164" s="279"/>
      <c r="O164" s="279"/>
      <c r="P164" s="279"/>
      <c r="Q164" s="279"/>
      <c r="S164" s="279"/>
    </row>
    <row r="165" spans="1:39" ht="15" customHeight="1" x14ac:dyDescent="0.35">
      <c r="A165" s="230"/>
      <c r="B165" s="230"/>
      <c r="C165" s="230"/>
      <c r="D165" s="230"/>
      <c r="E165" s="230"/>
      <c r="H165" s="210">
        <f t="shared" si="37"/>
        <v>0</v>
      </c>
      <c r="I165" s="210">
        <f t="shared" si="36"/>
        <v>0</v>
      </c>
      <c r="J165" s="288"/>
      <c r="K165" s="279"/>
      <c r="L165" s="279"/>
      <c r="M165" s="279"/>
      <c r="N165" s="279"/>
      <c r="O165" s="279"/>
      <c r="P165" s="279"/>
      <c r="Q165" s="279"/>
      <c r="S165" s="279"/>
    </row>
    <row r="166" spans="1:39" ht="15" customHeight="1" x14ac:dyDescent="0.35">
      <c r="A166" s="230"/>
      <c r="B166" s="230"/>
      <c r="C166" s="230"/>
      <c r="D166" s="230"/>
      <c r="E166" s="230"/>
      <c r="H166" s="210">
        <f t="shared" si="37"/>
        <v>0</v>
      </c>
      <c r="I166" s="210">
        <f t="shared" si="36"/>
        <v>0</v>
      </c>
      <c r="J166" s="288"/>
      <c r="K166" s="279"/>
      <c r="L166" s="279"/>
      <c r="M166" s="279"/>
      <c r="N166" s="279"/>
      <c r="O166" s="279"/>
      <c r="P166" s="279"/>
      <c r="Q166" s="279"/>
      <c r="S166" s="279"/>
    </row>
    <row r="167" spans="1:39" ht="15" customHeight="1" x14ac:dyDescent="0.35">
      <c r="A167" s="230"/>
      <c r="B167" s="230"/>
      <c r="C167" s="230"/>
      <c r="D167" s="230"/>
      <c r="E167" s="230"/>
      <c r="H167" s="210">
        <f t="shared" si="37"/>
        <v>0</v>
      </c>
      <c r="I167" s="210">
        <f t="shared" si="36"/>
        <v>0</v>
      </c>
      <c r="J167" s="288"/>
      <c r="K167" s="279"/>
      <c r="L167" s="279"/>
      <c r="M167" s="279"/>
      <c r="N167" s="279"/>
      <c r="O167" s="279"/>
      <c r="P167" s="279"/>
      <c r="Q167" s="279"/>
      <c r="S167" s="279"/>
    </row>
    <row r="168" spans="1:39" ht="15" customHeight="1" x14ac:dyDescent="0.35">
      <c r="A168" s="230"/>
      <c r="B168" s="230"/>
      <c r="C168" s="230"/>
      <c r="D168" s="230"/>
      <c r="E168" s="230"/>
      <c r="H168" s="210">
        <f t="shared" si="37"/>
        <v>0</v>
      </c>
      <c r="I168" s="210">
        <f t="shared" si="36"/>
        <v>0</v>
      </c>
      <c r="J168" s="288"/>
      <c r="K168" s="279"/>
      <c r="L168" s="279"/>
      <c r="M168" s="279"/>
      <c r="N168" s="279"/>
      <c r="O168" s="279"/>
      <c r="P168" s="279"/>
      <c r="Q168" s="279"/>
      <c r="S168" s="279"/>
    </row>
    <row r="169" spans="1:39" ht="15" customHeight="1" x14ac:dyDescent="0.35">
      <c r="A169" s="230"/>
      <c r="B169" s="230"/>
      <c r="C169" s="230"/>
      <c r="D169" s="230"/>
      <c r="E169" s="230"/>
      <c r="H169" s="210">
        <f t="shared" si="37"/>
        <v>0</v>
      </c>
      <c r="I169" s="210">
        <f t="shared" si="36"/>
        <v>0</v>
      </c>
      <c r="J169" s="288"/>
      <c r="K169" s="279"/>
      <c r="L169" s="279"/>
      <c r="M169" s="279"/>
      <c r="N169" s="279"/>
      <c r="O169" s="279"/>
      <c r="P169" s="279"/>
      <c r="Q169" s="279"/>
      <c r="S169" s="279"/>
    </row>
    <row r="170" spans="1:39" ht="12.75" customHeight="1" x14ac:dyDescent="0.35">
      <c r="A170" s="230"/>
      <c r="B170" s="230"/>
      <c r="C170" s="230"/>
      <c r="D170" s="230"/>
      <c r="E170" s="230"/>
      <c r="AC170" s="289"/>
      <c r="AD170" s="289"/>
      <c r="AE170" s="289"/>
      <c r="AL170" s="289"/>
      <c r="AM170" s="289"/>
    </row>
    <row r="171" spans="1:39" ht="12.75" customHeight="1" x14ac:dyDescent="0.35">
      <c r="A171" s="230"/>
      <c r="B171" s="230"/>
      <c r="C171" s="230"/>
      <c r="D171" s="230"/>
      <c r="E171" s="230"/>
      <c r="AC171" s="289"/>
      <c r="AD171" s="289"/>
      <c r="AE171" s="289"/>
      <c r="AL171" s="289"/>
      <c r="AM171" s="289"/>
    </row>
    <row r="172" spans="1:39" ht="12.75" customHeight="1" x14ac:dyDescent="0.35">
      <c r="A172" s="230"/>
      <c r="B172" s="230"/>
      <c r="C172" s="230"/>
      <c r="D172" s="230"/>
      <c r="E172" s="230"/>
      <c r="AC172" s="289"/>
      <c r="AD172" s="289"/>
      <c r="AE172" s="289"/>
      <c r="AL172" s="289"/>
      <c r="AM172" s="289"/>
    </row>
    <row r="173" spans="1:39" ht="12.75" customHeight="1" x14ac:dyDescent="0.35">
      <c r="A173" s="230"/>
      <c r="B173" s="230"/>
      <c r="C173" s="230"/>
      <c r="D173" s="230"/>
      <c r="E173" s="230"/>
      <c r="AC173" s="289"/>
      <c r="AD173" s="289"/>
      <c r="AE173" s="289"/>
      <c r="AL173" s="289"/>
      <c r="AM173" s="289"/>
    </row>
    <row r="174" spans="1:39" ht="12.75" customHeight="1" x14ac:dyDescent="0.35">
      <c r="A174" s="230"/>
      <c r="B174" s="230"/>
      <c r="C174" s="230"/>
      <c r="D174" s="230"/>
      <c r="E174" s="230"/>
      <c r="AC174" s="289"/>
      <c r="AD174" s="289"/>
      <c r="AE174" s="289"/>
      <c r="AL174" s="289"/>
      <c r="AM174" s="289"/>
    </row>
    <row r="175" spans="1:39" ht="12.75" customHeight="1" x14ac:dyDescent="0.35">
      <c r="A175" s="230"/>
      <c r="B175" s="230"/>
      <c r="C175" s="230"/>
      <c r="D175" s="230"/>
      <c r="E175" s="230"/>
      <c r="AC175" s="289"/>
      <c r="AD175" s="289"/>
      <c r="AE175" s="289"/>
      <c r="AL175" s="289"/>
      <c r="AM175" s="289"/>
    </row>
    <row r="176" spans="1:39" ht="12.75" customHeight="1" x14ac:dyDescent="0.35">
      <c r="A176" s="230"/>
      <c r="B176" s="230"/>
      <c r="C176" s="230"/>
      <c r="D176" s="230"/>
      <c r="E176" s="230"/>
      <c r="AC176" s="289"/>
      <c r="AD176" s="289"/>
      <c r="AE176" s="289"/>
      <c r="AL176" s="289"/>
      <c r="AM176" s="289"/>
    </row>
    <row r="177" spans="1:63" ht="12.75" customHeight="1" x14ac:dyDescent="0.35">
      <c r="A177" s="230"/>
      <c r="B177" s="230"/>
      <c r="C177" s="230"/>
      <c r="D177" s="230"/>
      <c r="E177" s="230"/>
      <c r="J177" s="221" t="s">
        <v>43</v>
      </c>
      <c r="K177" s="361">
        <v>3</v>
      </c>
      <c r="L177" s="361">
        <v>5</v>
      </c>
      <c r="M177" s="361"/>
      <c r="O177" s="221"/>
      <c r="P177" s="361"/>
      <c r="Q177" s="361"/>
      <c r="R177" s="361"/>
      <c r="S177" s="361"/>
      <c r="T177" s="361"/>
      <c r="Z177" s="289"/>
      <c r="AA177" s="289"/>
      <c r="AB177" s="289"/>
      <c r="AC177" s="289"/>
      <c r="AD177" s="289"/>
      <c r="AK177" s="289"/>
      <c r="AL177" s="289"/>
    </row>
    <row r="178" spans="1:63" ht="12.75" customHeight="1" x14ac:dyDescent="0.35">
      <c r="A178" s="230"/>
      <c r="B178" s="230"/>
      <c r="C178" s="230"/>
      <c r="D178" s="230"/>
      <c r="E178" s="230"/>
      <c r="J178" s="221" t="s">
        <v>17</v>
      </c>
      <c r="K178" s="361" t="s">
        <v>11</v>
      </c>
      <c r="L178" s="361" t="s">
        <v>12</v>
      </c>
      <c r="M178" s="361"/>
      <c r="O178" s="221"/>
      <c r="P178" s="361"/>
      <c r="Q178" s="361"/>
      <c r="R178" s="361"/>
      <c r="S178" s="361"/>
      <c r="T178" s="361"/>
      <c r="Z178" s="289"/>
      <c r="AA178" s="289"/>
      <c r="AB178" s="289"/>
      <c r="AC178" s="289"/>
      <c r="AD178" s="289"/>
      <c r="AK178" s="289"/>
      <c r="AL178" s="289"/>
    </row>
    <row r="179" spans="1:63" ht="12.75" customHeight="1" x14ac:dyDescent="0.35">
      <c r="A179" s="230"/>
      <c r="B179" s="230"/>
      <c r="C179" s="230"/>
      <c r="D179" s="230"/>
      <c r="E179" s="230"/>
      <c r="J179" s="221" t="s">
        <v>4</v>
      </c>
      <c r="K179" s="361">
        <v>0</v>
      </c>
      <c r="L179" s="361">
        <v>0</v>
      </c>
      <c r="M179" s="361"/>
      <c r="O179" s="221"/>
      <c r="P179" s="361"/>
      <c r="Q179" s="361"/>
      <c r="R179" s="361"/>
      <c r="S179" s="361"/>
      <c r="T179" s="361"/>
      <c r="Z179" s="289"/>
      <c r="AA179" s="289"/>
      <c r="AB179" s="289"/>
      <c r="AC179" s="289"/>
      <c r="AD179" s="289"/>
      <c r="AK179" s="289"/>
      <c r="AL179" s="289"/>
    </row>
    <row r="180" spans="1:63" ht="12.75" customHeight="1" x14ac:dyDescent="0.35">
      <c r="A180" s="230"/>
      <c r="B180" s="230"/>
      <c r="C180" s="230"/>
      <c r="D180" s="230"/>
      <c r="E180" s="230"/>
      <c r="J180" s="221" t="s">
        <v>5</v>
      </c>
      <c r="K180" s="361">
        <f>AE188</f>
        <v>8.9825850062422372</v>
      </c>
      <c r="L180" s="361">
        <f>AL188</f>
        <v>8.9825850062422372</v>
      </c>
      <c r="M180" s="361"/>
      <c r="O180" s="221"/>
      <c r="P180" s="226"/>
      <c r="Q180" s="361"/>
      <c r="R180" s="227"/>
      <c r="T180" s="227"/>
      <c r="Z180" s="289"/>
      <c r="AA180" s="289"/>
      <c r="AB180" s="289"/>
      <c r="AC180" s="289"/>
      <c r="AD180" s="289"/>
      <c r="AK180" s="289"/>
      <c r="AL180" s="289"/>
    </row>
    <row r="181" spans="1:63" ht="12.75" customHeight="1" x14ac:dyDescent="0.35">
      <c r="A181" s="230"/>
      <c r="B181" s="230"/>
      <c r="C181" s="230"/>
      <c r="D181" s="230"/>
      <c r="E181" s="230"/>
      <c r="J181" s="221" t="str">
        <f>O6</f>
        <v>Electricity</v>
      </c>
      <c r="K181" s="361">
        <f>AB188</f>
        <v>8.9825850062422372</v>
      </c>
      <c r="L181" s="361">
        <f>AI188</f>
        <v>8.9825850062422372</v>
      </c>
      <c r="M181" s="361"/>
      <c r="Z181" s="289"/>
      <c r="AA181" s="289"/>
      <c r="AB181" s="289"/>
      <c r="AC181" s="289"/>
      <c r="AD181" s="289"/>
      <c r="AK181" s="289"/>
      <c r="AL181" s="289"/>
    </row>
    <row r="182" spans="1:63" ht="12.75" customHeight="1" x14ac:dyDescent="0.35">
      <c r="A182" s="230"/>
      <c r="B182" s="230"/>
      <c r="C182" s="230"/>
      <c r="D182" s="230"/>
      <c r="E182" s="230"/>
      <c r="J182" s="221" t="str">
        <f>O7</f>
        <v>Gas</v>
      </c>
      <c r="K182" s="361">
        <f>AC188</f>
        <v>8.9825850062422372</v>
      </c>
      <c r="L182" s="361">
        <f>AJ188</f>
        <v>8.9825850062422372</v>
      </c>
      <c r="M182" s="361"/>
      <c r="Z182" s="289"/>
      <c r="AA182" s="289"/>
      <c r="AB182" s="289"/>
      <c r="AC182" s="289"/>
      <c r="AD182" s="289"/>
      <c r="AK182" s="289"/>
      <c r="AL182" s="289"/>
    </row>
    <row r="183" spans="1:63" ht="12.75" customHeight="1" x14ac:dyDescent="0.35">
      <c r="A183" s="230"/>
      <c r="B183" s="230"/>
      <c r="C183" s="230"/>
      <c r="D183" s="230"/>
      <c r="E183" s="230"/>
      <c r="J183" s="221" t="str">
        <f>O8</f>
        <v>-</v>
      </c>
      <c r="K183" s="361">
        <f>AD188</f>
        <v>8.9825850062422372</v>
      </c>
      <c r="L183" s="361">
        <f>AK188</f>
        <v>8.9825850062422372</v>
      </c>
      <c r="M183" s="361"/>
      <c r="Z183" s="289"/>
      <c r="AA183" s="289"/>
      <c r="AB183" s="289"/>
      <c r="AC183" s="289"/>
      <c r="AD183" s="289"/>
      <c r="AK183" s="289"/>
      <c r="AL183" s="289"/>
    </row>
    <row r="184" spans="1:63" ht="12.75" customHeight="1" x14ac:dyDescent="0.35">
      <c r="A184" s="230"/>
      <c r="B184" s="230"/>
      <c r="C184" s="230"/>
      <c r="D184" s="230"/>
      <c r="E184" s="230"/>
      <c r="AC184" s="289"/>
      <c r="AD184" s="289"/>
      <c r="AE184" s="289"/>
      <c r="AL184" s="289"/>
      <c r="AM184" s="289"/>
    </row>
    <row r="185" spans="1:63" ht="12.75" customHeight="1" x14ac:dyDescent="0.35">
      <c r="A185" s="230"/>
      <c r="B185" s="230"/>
      <c r="C185" s="230"/>
      <c r="D185" s="230"/>
      <c r="E185" s="230"/>
      <c r="AC185" s="289"/>
      <c r="AD185" s="289"/>
      <c r="AE185" s="289"/>
      <c r="AL185" s="289"/>
      <c r="AM185" s="289"/>
    </row>
    <row r="186" spans="1:63" ht="12.75" customHeight="1" x14ac:dyDescent="0.35">
      <c r="A186" s="230"/>
      <c r="B186" s="230"/>
      <c r="C186" s="230"/>
      <c r="D186" s="230"/>
      <c r="E186" s="230"/>
      <c r="AC186" s="289"/>
      <c r="AD186" s="289"/>
      <c r="AE186" s="289"/>
      <c r="AL186" s="289"/>
    </row>
    <row r="187" spans="1:63" ht="14.5" x14ac:dyDescent="0.35">
      <c r="A187" s="230"/>
      <c r="B187" s="230"/>
      <c r="C187" s="230"/>
      <c r="D187" s="230"/>
      <c r="E187" s="230"/>
      <c r="H187" s="290"/>
      <c r="J187" s="357" t="s">
        <v>100</v>
      </c>
      <c r="K187" s="468" t="s">
        <v>101</v>
      </c>
      <c r="L187" s="469"/>
      <c r="M187" s="469"/>
      <c r="N187" s="469"/>
      <c r="O187" s="469"/>
      <c r="P187" s="469"/>
      <c r="Q187" s="469"/>
      <c r="R187" s="469"/>
      <c r="S187" s="357" t="s">
        <v>100</v>
      </c>
      <c r="T187" s="357" t="s">
        <v>101</v>
      </c>
      <c r="U187" s="358"/>
      <c r="V187" s="358"/>
      <c r="W187" s="358"/>
      <c r="X187" s="358"/>
      <c r="Y187" s="358"/>
      <c r="Z187" s="358"/>
      <c r="AA187" s="358"/>
      <c r="AB187" s="210" t="s">
        <v>18</v>
      </c>
      <c r="AF187" s="361" t="s">
        <v>25</v>
      </c>
      <c r="AG187" s="361" t="s">
        <v>26</v>
      </c>
      <c r="AH187" s="210" t="s">
        <v>28</v>
      </c>
      <c r="AI187" s="210" t="s">
        <v>19</v>
      </c>
      <c r="AN187" s="361" t="s">
        <v>26</v>
      </c>
      <c r="AO187" s="210" t="s">
        <v>28</v>
      </c>
      <c r="AP187" s="210" t="s">
        <v>20</v>
      </c>
      <c r="AU187" s="210" t="s">
        <v>10</v>
      </c>
    </row>
    <row r="188" spans="1:63" ht="14.5" x14ac:dyDescent="0.35">
      <c r="A188" s="230"/>
      <c r="B188" s="230"/>
      <c r="C188" s="230"/>
      <c r="D188" s="230"/>
      <c r="E188" s="230"/>
      <c r="F188" s="291"/>
      <c r="H188" s="290"/>
      <c r="I188" s="290"/>
      <c r="J188" s="362" t="s">
        <v>35</v>
      </c>
      <c r="K188" s="291" t="s">
        <v>33</v>
      </c>
      <c r="L188" s="277" t="s">
        <v>30</v>
      </c>
      <c r="M188" s="356" t="s">
        <v>31</v>
      </c>
      <c r="N188" s="292"/>
      <c r="O188" s="292"/>
      <c r="P188" s="361" t="s">
        <v>3</v>
      </c>
      <c r="Q188" s="361"/>
      <c r="R188" s="361" t="s">
        <v>27</v>
      </c>
      <c r="S188" s="362" t="s">
        <v>35</v>
      </c>
      <c r="T188" s="291" t="s">
        <v>33</v>
      </c>
      <c r="U188" s="277" t="s">
        <v>30</v>
      </c>
      <c r="V188" s="467" t="s">
        <v>31</v>
      </c>
      <c r="W188" s="467"/>
      <c r="X188" s="467"/>
      <c r="Y188" s="361" t="s">
        <v>3</v>
      </c>
      <c r="Z188" s="361"/>
      <c r="AA188" s="361" t="s">
        <v>27</v>
      </c>
      <c r="AB188" s="210">
        <f>SUM(AB191:AB291)</f>
        <v>8.9825850062422372</v>
      </c>
      <c r="AC188" s="210">
        <f>SUM(AC191:AC291)</f>
        <v>8.9825850062422372</v>
      </c>
      <c r="AD188" s="210">
        <f>SUM(AD191:AD291)</f>
        <v>8.9825850062422372</v>
      </c>
      <c r="AE188" s="210">
        <f>SUM(AE191:AE291)</f>
        <v>8.9825850062422372</v>
      </c>
      <c r="AF188" s="361"/>
      <c r="AG188" s="226">
        <f t="shared" ref="AG188:AO188" si="38">SUM(AG191:AG291)</f>
        <v>0</v>
      </c>
      <c r="AH188" s="226">
        <f t="shared" si="38"/>
        <v>0</v>
      </c>
      <c r="AI188" s="210">
        <f t="shared" si="38"/>
        <v>8.9825850062422372</v>
      </c>
      <c r="AJ188" s="210">
        <f t="shared" si="38"/>
        <v>8.9825850062422372</v>
      </c>
      <c r="AK188" s="210">
        <f t="shared" si="38"/>
        <v>8.9825850062422372</v>
      </c>
      <c r="AL188" s="210">
        <f t="shared" si="38"/>
        <v>8.9825850062422372</v>
      </c>
      <c r="AM188" s="210">
        <f t="shared" si="38"/>
        <v>5.0499999999999901</v>
      </c>
      <c r="AN188" s="226">
        <f t="shared" si="38"/>
        <v>0</v>
      </c>
      <c r="AO188" s="226">
        <f t="shared" si="38"/>
        <v>0</v>
      </c>
    </row>
    <row r="189" spans="1:63" ht="14.5" x14ac:dyDescent="0.35">
      <c r="B189" s="476" t="s">
        <v>11</v>
      </c>
      <c r="C189" s="477"/>
      <c r="D189" s="476" t="s">
        <v>12</v>
      </c>
      <c r="E189" s="477"/>
      <c r="F189" s="291"/>
      <c r="G189" s="291"/>
      <c r="I189" s="356" t="s">
        <v>22</v>
      </c>
      <c r="J189" s="237"/>
      <c r="K189" s="291"/>
      <c r="L189" s="210" t="s">
        <v>32</v>
      </c>
      <c r="M189" s="293" t="str">
        <f>Entries!D16</f>
        <v>Electricity</v>
      </c>
      <c r="N189" s="294" t="str">
        <f>Entries!D17</f>
        <v>Gas</v>
      </c>
      <c r="O189" s="294">
        <f>Entries!D18</f>
        <v>0</v>
      </c>
      <c r="P189" s="210" t="str">
        <f>AE189</f>
        <v>Material</v>
      </c>
      <c r="R189" s="210" t="s">
        <v>27</v>
      </c>
      <c r="S189" s="237"/>
      <c r="T189" s="291"/>
      <c r="U189" s="210" t="s">
        <v>32</v>
      </c>
      <c r="V189" s="293" t="str">
        <f>$M$189</f>
        <v>Electricity</v>
      </c>
      <c r="W189" s="293" t="str">
        <f>$N$189</f>
        <v>Gas</v>
      </c>
      <c r="X189" s="293">
        <f>$O$189</f>
        <v>0</v>
      </c>
      <c r="Y189" s="210" t="s">
        <v>5</v>
      </c>
      <c r="AA189" s="210" t="s">
        <v>27</v>
      </c>
      <c r="AB189" s="356" t="str">
        <f>IF(O6=0,"Energie1",O6)</f>
        <v>Electricity</v>
      </c>
      <c r="AC189" s="361" t="str">
        <f>IF(O7=0,"Energie2",O7)</f>
        <v>Gas</v>
      </c>
      <c r="AD189" s="361" t="str">
        <f>IF(O8=0,"Energie3",O8)</f>
        <v>-</v>
      </c>
      <c r="AE189" s="361" t="s">
        <v>5</v>
      </c>
      <c r="AF189" s="361" t="s">
        <v>25</v>
      </c>
      <c r="AG189" s="361" t="s">
        <v>26</v>
      </c>
      <c r="AH189" s="210" t="s">
        <v>27</v>
      </c>
      <c r="AI189" s="356" t="str">
        <f t="shared" ref="AI189:AS189" si="39">AB189</f>
        <v>Electricity</v>
      </c>
      <c r="AJ189" s="356" t="str">
        <f t="shared" si="39"/>
        <v>Gas</v>
      </c>
      <c r="AK189" s="356" t="str">
        <f t="shared" si="39"/>
        <v>-</v>
      </c>
      <c r="AL189" s="356" t="str">
        <f t="shared" si="39"/>
        <v>Material</v>
      </c>
      <c r="AM189" s="356" t="str">
        <f t="shared" si="39"/>
        <v>Ersatz/Jahr</v>
      </c>
      <c r="AN189" s="356" t="str">
        <f t="shared" si="39"/>
        <v>Anzahl Ersatz</v>
      </c>
      <c r="AO189" s="356" t="str">
        <f t="shared" si="39"/>
        <v>Ersatzinvest</v>
      </c>
      <c r="AP189" s="356" t="str">
        <f t="shared" si="39"/>
        <v>Electricity</v>
      </c>
      <c r="AQ189" s="356" t="str">
        <f t="shared" si="39"/>
        <v>Gas</v>
      </c>
      <c r="AR189" s="356" t="str">
        <f t="shared" si="39"/>
        <v>-</v>
      </c>
      <c r="AS189" s="356" t="str">
        <f t="shared" si="39"/>
        <v>Material</v>
      </c>
      <c r="AT189" s="361"/>
      <c r="AU189" s="361" t="s">
        <v>9</v>
      </c>
      <c r="AV189" s="356" t="s">
        <v>6</v>
      </c>
      <c r="AW189" s="361" t="s">
        <v>7</v>
      </c>
      <c r="AX189" s="361" t="s">
        <v>8</v>
      </c>
      <c r="AY189" s="361" t="s">
        <v>21</v>
      </c>
      <c r="AZ189" s="361" t="s">
        <v>5</v>
      </c>
      <c r="BB189" s="361"/>
      <c r="BC189" s="356"/>
      <c r="BD189" s="361"/>
      <c r="BE189" s="361"/>
      <c r="BF189" s="361"/>
      <c r="BG189" s="361"/>
      <c r="BH189" s="361"/>
      <c r="BI189" s="361"/>
      <c r="BJ189" s="361"/>
      <c r="BK189" s="361"/>
    </row>
    <row r="190" spans="1:63" ht="14.5" x14ac:dyDescent="0.3">
      <c r="A190" s="361" t="s">
        <v>14</v>
      </c>
      <c r="B190" s="210" t="s">
        <v>13</v>
      </c>
      <c r="C190" s="210" t="s">
        <v>15</v>
      </c>
      <c r="D190" s="210" t="s">
        <v>13</v>
      </c>
      <c r="E190" s="210" t="s">
        <v>15</v>
      </c>
      <c r="G190" s="291">
        <v>1</v>
      </c>
      <c r="I190" s="361" t="s">
        <v>34</v>
      </c>
      <c r="J190" s="295">
        <f>J189+K190</f>
        <v>0</v>
      </c>
      <c r="K190" s="295">
        <f t="shared" ref="K190" si="40">SUM(L190:R190)</f>
        <v>0</v>
      </c>
      <c r="L190" s="295">
        <f>-1*(L20+L21)</f>
        <v>0</v>
      </c>
      <c r="M190" s="295"/>
      <c r="N190" s="295"/>
      <c r="O190" s="295"/>
      <c r="P190" s="295"/>
      <c r="Q190" s="295"/>
      <c r="R190" s="295"/>
      <c r="S190" s="295">
        <f>S189+T190</f>
        <v>-230000</v>
      </c>
      <c r="T190" s="295">
        <f>SUM(U190:Y190)+AA190</f>
        <v>-230000</v>
      </c>
      <c r="U190" s="295">
        <f>-1*(N20+N21)</f>
        <v>-230000</v>
      </c>
      <c r="V190" s="295"/>
      <c r="W190" s="295"/>
      <c r="X190" s="295"/>
      <c r="Y190" s="295"/>
      <c r="Z190" s="295"/>
      <c r="AA190" s="295"/>
    </row>
    <row r="191" spans="1:63" x14ac:dyDescent="0.3">
      <c r="A191" s="210">
        <f>IF(($L$59)&gt;=1,1,IF(($L$59)&gt;=0,($L$59),0))</f>
        <v>1</v>
      </c>
      <c r="B191" s="210">
        <f>IF((L$18/V$5)&gt;=1,1,IF((L$18/V$5)&gt;=0,(L$18/V$5),0))</f>
        <v>1</v>
      </c>
      <c r="C191" s="210">
        <f t="shared" ref="C191:C222" si="41">$A191</f>
        <v>1</v>
      </c>
      <c r="D191" s="210">
        <f>IF((N$18/X$5)&gt;=1,1,IF((N$18/X$5)&gt;=0,(N$18/X$5),0))</f>
        <v>1</v>
      </c>
      <c r="E191" s="210">
        <f t="shared" ref="E191:E222" si="42">$A191</f>
        <v>1</v>
      </c>
      <c r="F191" s="296">
        <v>1</v>
      </c>
      <c r="G191" s="210">
        <f>G190+1</f>
        <v>2</v>
      </c>
      <c r="I191" s="210">
        <v>1</v>
      </c>
      <c r="J191" s="295">
        <f t="shared" ref="J191:J216" si="43">(J190+K191)*C191</f>
        <v>-1152009.8039215684</v>
      </c>
      <c r="K191" s="295">
        <f>SUM(L191:P191)+R191</f>
        <v>-1152009.8039215684</v>
      </c>
      <c r="L191" s="295"/>
      <c r="M191" s="295">
        <f t="shared" ref="M191:M216" si="44">-1*IF(SUM($L$34:$L$36)=0,(VLOOKUP($M$31,Energie,2,FALSE)*$L$31*HLOOKUP($M$31,Variante1_KWF,$G192,FALSE)*$V$5/100),VLOOKUP($M$34,Energie,2,FALSE)*$L$34*HLOOKUP($M$34,Variante1_KWF,$G192,FALSE)/100)</f>
        <v>-980392.15686274495</v>
      </c>
      <c r="N191" s="295">
        <f t="shared" ref="N191:N216" si="45">-1*IF(SUM($L$34:$L$36)=0,(VLOOKUP($M$32,Energie,2,FALSE)*$L$32*HLOOKUP($M$32,Variante1_KWF,$G192,FALSE)*$V$5/100),VLOOKUP($M$35,Energie,2,FALSE)*$L$35*HLOOKUP($M$35,Variante1_KWF,$G192,FALSE)/100)</f>
        <v>-171568.62745098039</v>
      </c>
      <c r="O191" s="295">
        <f t="shared" ref="O191:O216" si="46">-1*IF(SUM($L$34:$L$36)=0,(VLOOKUP($M$33,Energie,2,FALSE)*$L$33*HLOOKUP($M$33,Variante1_KWF,$G192,FALSE)*$V$5/100),VLOOKUP($M$36,Energie,2,FALSE)*$L$36*HLOOKUP($M$36,Variante1_KWF,$G192,FALSE)/100)</f>
        <v>0</v>
      </c>
      <c r="P191" s="295">
        <f t="shared" ref="P191:P216" si="47">-1*($L$26*AE191)</f>
        <v>-49.019607843137251</v>
      </c>
      <c r="Q191" s="295"/>
      <c r="R191" s="295">
        <f>-1*(($L$51)*$AH191)</f>
        <v>0</v>
      </c>
      <c r="S191" s="295">
        <f t="shared" ref="S191:S216" si="48">(S190+T191)*E191</f>
        <v>-1321470.588235294</v>
      </c>
      <c r="T191" s="295">
        <f t="shared" ref="T191:T254" si="49">SUM(U191:Y191)+AA191</f>
        <v>-1091470.588235294</v>
      </c>
      <c r="U191" s="295"/>
      <c r="V191" s="295">
        <f t="shared" ref="V191:V216" si="50">-1*IF(SUM($N$34:$N$36)=0,(VLOOKUP($O$31,Energie,2,FALSE)*$N$31*HLOOKUP($O$31,Variante2_KWF,$G192,FALSE)*$X$5/100),VLOOKUP($O$34,Energie,2,FALSE)*$N$34*HLOOKUP($O$34,Variante2_KWF,$G192,FALSE)/100)</f>
        <v>-969607.84313725482</v>
      </c>
      <c r="W191" s="295">
        <f t="shared" ref="W191:W216" si="51">-1*IF(SUM($N$34:$N$36)=0,(VLOOKUP($O$32,Energie,2,FALSE)*$N$32*HLOOKUP($O$32,Variante2_KWF,$G192,FALSE)*$X$5/100),VLOOKUP($O$35,Energie,2,FALSE)*$N$35*HLOOKUP($O$35,Variante2_KWF,$G192,FALSE)/100)</f>
        <v>-121813.72549019607</v>
      </c>
      <c r="X191" s="295">
        <f t="shared" ref="X191:X216" si="52">-1*IF(SUM($N$34:$N$36)=0,(VLOOKUP($O$33,Energie,2,FALSE)*$N$33*HLOOKUP($O$33,Variante2_KWF,$G192,FALSE)*$X$5/100),VLOOKUP($O$36,Energie,2,FALSE)*$N$36*HLOOKUP($O$36,Variante2_KWF,$G192,FALSE)/100)</f>
        <v>0</v>
      </c>
      <c r="Y191" s="295">
        <f t="shared" ref="Y191:Y216" si="53">-1*($N$26*$AL191)</f>
        <v>-49.019607843137251</v>
      </c>
      <c r="Z191" s="295"/>
      <c r="AA191" s="295">
        <f t="shared" ref="AA191:AA216" si="54">-1*(($N$51+$N$52)*$AO191)</f>
        <v>0</v>
      </c>
      <c r="AB191" s="210">
        <f t="shared" ref="AB191:AB222" si="55">$C191*AP191</f>
        <v>0.98039215686274506</v>
      </c>
      <c r="AC191" s="210">
        <f t="shared" ref="AC191:AC222" si="56">$C191*AQ191</f>
        <v>0.98039215686274506</v>
      </c>
      <c r="AD191" s="210">
        <f t="shared" ref="AD191:AD222" si="57">$C191*AR191</f>
        <v>0.98039215686274506</v>
      </c>
      <c r="AE191" s="210">
        <f t="shared" ref="AE191:AE222" si="58">$C191*AT191</f>
        <v>0.98039215686274506</v>
      </c>
      <c r="AF191" s="227">
        <f t="shared" ref="AF191:AF222" si="59">1/($L$18/$V$5)</f>
        <v>0.05</v>
      </c>
      <c r="AG191" s="227">
        <f>ROUNDDOWN(SUM(AF$191:AF191),0)*$A191</f>
        <v>0</v>
      </c>
      <c r="AH191" s="227">
        <f t="shared" ref="AH191:AH222" si="60">AG191*$AS191</f>
        <v>0</v>
      </c>
      <c r="AI191" s="210">
        <f t="shared" ref="AI191:AI222" si="61">$E191*AP191</f>
        <v>0.98039215686274506</v>
      </c>
      <c r="AJ191" s="210">
        <f t="shared" ref="AJ191:AJ222" si="62">$E191*AQ191</f>
        <v>0.98039215686274506</v>
      </c>
      <c r="AK191" s="210">
        <f t="shared" ref="AK191:AK222" si="63">$E191*AR191</f>
        <v>0.98039215686274506</v>
      </c>
      <c r="AL191" s="210">
        <f t="shared" ref="AL191:AL222" si="64">$E191*AT191</f>
        <v>0.98039215686274506</v>
      </c>
      <c r="AM191" s="210">
        <f t="shared" ref="AM191:AM222" si="65">1/($N$18/$X$5)</f>
        <v>0.05</v>
      </c>
      <c r="AN191" s="227">
        <f>ROUNDDOWN(SUM(AM$191:AM191),0)*$A191</f>
        <v>0</v>
      </c>
      <c r="AO191" s="227">
        <f t="shared" ref="AO191:AO222" si="66">AN191*$AS191</f>
        <v>0</v>
      </c>
      <c r="AP191" s="210">
        <f t="shared" ref="AP191:AP199" si="67">AV191/$AU191</f>
        <v>0.98039215686274506</v>
      </c>
      <c r="AQ191" s="210">
        <f t="shared" ref="AQ191:AQ199" si="68">AW191/$AU191</f>
        <v>0.98039215686274506</v>
      </c>
      <c r="AR191" s="210">
        <f t="shared" ref="AR191:AR199" si="69">AX191/$AU191</f>
        <v>0.98039215686274506</v>
      </c>
      <c r="AS191" s="210">
        <f t="shared" ref="AS191:AS199" si="70">AY191/$AU191</f>
        <v>0.98039215686274506</v>
      </c>
      <c r="AT191" s="210">
        <f t="shared" ref="AT191:AT199" si="71">AZ191/$AU191</f>
        <v>0.98039215686274506</v>
      </c>
      <c r="AU191" s="227">
        <f t="shared" ref="AU191:AU222" si="72">(1+$L$6)^$F191</f>
        <v>1.02</v>
      </c>
      <c r="AV191" s="227">
        <f>(1+$Q$6)^0</f>
        <v>1</v>
      </c>
      <c r="AW191" s="227">
        <f>(1+$Q$7)^0</f>
        <v>1</v>
      </c>
      <c r="AX191" s="227">
        <f>(1+$Q$8)^0</f>
        <v>1</v>
      </c>
      <c r="AY191" s="227">
        <f>(1+$N$6)^0</f>
        <v>1</v>
      </c>
      <c r="AZ191" s="227">
        <f>(1+$M$6)^0</f>
        <v>1</v>
      </c>
      <c r="BB191" s="227"/>
      <c r="BC191" s="227"/>
      <c r="BD191" s="227"/>
      <c r="BE191" s="227"/>
      <c r="BF191" s="227"/>
      <c r="BG191" s="227"/>
      <c r="BH191" s="227"/>
      <c r="BI191" s="227"/>
      <c r="BJ191" s="227"/>
      <c r="BK191" s="227"/>
    </row>
    <row r="192" spans="1:63" x14ac:dyDescent="0.3">
      <c r="A192" s="210">
        <f t="shared" ref="A192:A223" si="73">IF(($L$59)-$I191&gt;=1,1,IF(($L$59)-$I191&gt;=0,($L$59)-$I191,0))</f>
        <v>1</v>
      </c>
      <c r="B192" s="210">
        <f t="shared" ref="B192:B223" si="74">IF((L$18/V$5)-$I191&gt;=1,1,IF((L$18/V$5)-$I191&gt;=0,(L$18/V$5)-$I191,0))</f>
        <v>1</v>
      </c>
      <c r="C192" s="210">
        <f t="shared" si="41"/>
        <v>1</v>
      </c>
      <c r="D192" s="210">
        <f t="shared" ref="D192:D223" si="75">IF((N$18/X$5)-$I191&gt;=1,1,IF((N$18/X$5)-$I191&gt;=0,(N$18/X$5)-$I191,0))</f>
        <v>1</v>
      </c>
      <c r="E192" s="210">
        <f t="shared" si="42"/>
        <v>1</v>
      </c>
      <c r="F192" s="297">
        <v>2</v>
      </c>
      <c r="G192" s="210">
        <f t="shared" ref="G192:G255" si="76">G191+1</f>
        <v>3</v>
      </c>
      <c r="I192" s="210">
        <v>2</v>
      </c>
      <c r="J192" s="295">
        <f t="shared" si="43"/>
        <v>-2281431.1803152636</v>
      </c>
      <c r="K192" s="295">
        <f t="shared" ref="K192:K255" si="77">SUM(L192:P192)+R192</f>
        <v>-1129421.3763936949</v>
      </c>
      <c r="L192" s="295"/>
      <c r="M192" s="295">
        <f t="shared" si="44"/>
        <v>-961168.78123798547</v>
      </c>
      <c r="N192" s="295">
        <f t="shared" si="45"/>
        <v>-168204.53671664745</v>
      </c>
      <c r="O192" s="295">
        <f t="shared" si="46"/>
        <v>0</v>
      </c>
      <c r="P192" s="295">
        <f t="shared" si="47"/>
        <v>-48.058439061899271</v>
      </c>
      <c r="Q192" s="295"/>
      <c r="R192" s="295">
        <f t="shared" ref="R192:R216" si="78">-1*(($L$51+$L$52)*$AH192)</f>
        <v>0</v>
      </c>
      <c r="S192" s="295">
        <f t="shared" si="48"/>
        <v>-2391539.7923875432</v>
      </c>
      <c r="T192" s="295">
        <f t="shared" si="49"/>
        <v>-1070069.2041522493</v>
      </c>
      <c r="U192" s="295"/>
      <c r="V192" s="295">
        <f t="shared" si="50"/>
        <v>-950595.92464436754</v>
      </c>
      <c r="W192" s="295">
        <f t="shared" si="51"/>
        <v>-119425.22106881969</v>
      </c>
      <c r="X192" s="295">
        <f t="shared" si="52"/>
        <v>0</v>
      </c>
      <c r="Y192" s="295">
        <f t="shared" si="53"/>
        <v>-48.058439061899271</v>
      </c>
      <c r="Z192" s="295"/>
      <c r="AA192" s="295">
        <f t="shared" si="54"/>
        <v>0</v>
      </c>
      <c r="AB192" s="210">
        <f t="shared" si="55"/>
        <v>0.96116878123798544</v>
      </c>
      <c r="AC192" s="210">
        <f t="shared" si="56"/>
        <v>0.96116878123798544</v>
      </c>
      <c r="AD192" s="210">
        <f t="shared" si="57"/>
        <v>0.96116878123798544</v>
      </c>
      <c r="AE192" s="210">
        <f t="shared" si="58"/>
        <v>0.96116878123798544</v>
      </c>
      <c r="AF192" s="227">
        <f t="shared" si="59"/>
        <v>0.05</v>
      </c>
      <c r="AG192" s="227">
        <f>ROUNDDOWN(SUM(AF$191:AF192)-SUM(AG$191:AG191),0)*$A192</f>
        <v>0</v>
      </c>
      <c r="AH192" s="227">
        <f t="shared" si="60"/>
        <v>0</v>
      </c>
      <c r="AI192" s="210">
        <f t="shared" si="61"/>
        <v>0.96116878123798544</v>
      </c>
      <c r="AJ192" s="210">
        <f t="shared" si="62"/>
        <v>0.96116878123798544</v>
      </c>
      <c r="AK192" s="210">
        <f t="shared" si="63"/>
        <v>0.96116878123798544</v>
      </c>
      <c r="AL192" s="210">
        <f t="shared" si="64"/>
        <v>0.96116878123798544</v>
      </c>
      <c r="AM192" s="210">
        <f t="shared" si="65"/>
        <v>0.05</v>
      </c>
      <c r="AN192" s="227">
        <f>ROUNDDOWN(SUM(AM$191:AM192)-SUM(AN$191:AN191),0)*$A192</f>
        <v>0</v>
      </c>
      <c r="AO192" s="227">
        <f t="shared" si="66"/>
        <v>0</v>
      </c>
      <c r="AP192" s="210">
        <f t="shared" si="67"/>
        <v>0.96116878123798544</v>
      </c>
      <c r="AQ192" s="210">
        <f t="shared" si="68"/>
        <v>0.96116878123798544</v>
      </c>
      <c r="AR192" s="210">
        <f t="shared" si="69"/>
        <v>0.96116878123798544</v>
      </c>
      <c r="AS192" s="210">
        <f t="shared" si="70"/>
        <v>0.96116878123798544</v>
      </c>
      <c r="AT192" s="210">
        <f t="shared" si="71"/>
        <v>0.96116878123798544</v>
      </c>
      <c r="AU192" s="227">
        <f t="shared" si="72"/>
        <v>1.0404</v>
      </c>
      <c r="AV192" s="227">
        <f t="shared" ref="AV192:AV223" si="79">(1+$Q$6)^$F191</f>
        <v>1</v>
      </c>
      <c r="AW192" s="227">
        <f t="shared" ref="AW192:AW223" si="80">(1+$Q$7)^$F191</f>
        <v>1</v>
      </c>
      <c r="AX192" s="227">
        <f t="shared" ref="AX192:AX223" si="81">(1+$Q$8)^$F191</f>
        <v>1</v>
      </c>
      <c r="AY192" s="227">
        <f t="shared" ref="AY192:AY223" si="82">(1+$N$6)^$F191</f>
        <v>1</v>
      </c>
      <c r="AZ192" s="227">
        <f t="shared" ref="AZ192:AZ223" si="83">(1+$M$6)^$F191</f>
        <v>1</v>
      </c>
      <c r="BB192" s="227"/>
      <c r="BC192" s="227"/>
      <c r="BD192" s="227"/>
      <c r="BE192" s="227"/>
      <c r="BF192" s="227"/>
      <c r="BG192" s="227"/>
      <c r="BH192" s="227"/>
      <c r="BI192" s="227"/>
      <c r="BJ192" s="227"/>
      <c r="BK192" s="227"/>
    </row>
    <row r="193" spans="1:63" x14ac:dyDescent="0.3">
      <c r="A193" s="210">
        <f t="shared" si="73"/>
        <v>1</v>
      </c>
      <c r="B193" s="210">
        <f t="shared" si="74"/>
        <v>1</v>
      </c>
      <c r="C193" s="210">
        <f t="shared" si="41"/>
        <v>1</v>
      </c>
      <c r="D193" s="210">
        <f t="shared" si="75"/>
        <v>1</v>
      </c>
      <c r="E193" s="210">
        <f t="shared" si="42"/>
        <v>1</v>
      </c>
      <c r="F193" s="297">
        <v>3</v>
      </c>
      <c r="G193" s="210">
        <f t="shared" si="76"/>
        <v>4</v>
      </c>
      <c r="I193" s="210">
        <v>3</v>
      </c>
      <c r="J193" s="295">
        <f t="shared" si="43"/>
        <v>-3388707.0395247685</v>
      </c>
      <c r="K193" s="295">
        <f t="shared" si="77"/>
        <v>-1107275.8592095047</v>
      </c>
      <c r="L193" s="295"/>
      <c r="M193" s="295">
        <f t="shared" si="44"/>
        <v>-942322.33454704459</v>
      </c>
      <c r="N193" s="295">
        <f t="shared" si="45"/>
        <v>-164906.40854573282</v>
      </c>
      <c r="O193" s="295">
        <f t="shared" si="46"/>
        <v>0</v>
      </c>
      <c r="P193" s="295">
        <f t="shared" si="47"/>
        <v>-47.116116727352228</v>
      </c>
      <c r="Q193" s="295"/>
      <c r="R193" s="295">
        <f t="shared" si="78"/>
        <v>0</v>
      </c>
      <c r="S193" s="295">
        <f t="shared" si="48"/>
        <v>-3440627.2474387679</v>
      </c>
      <c r="T193" s="295">
        <f t="shared" si="49"/>
        <v>-1049087.4550512247</v>
      </c>
      <c r="U193" s="295"/>
      <c r="V193" s="295">
        <f t="shared" si="50"/>
        <v>-931956.78886702715</v>
      </c>
      <c r="W193" s="295">
        <f t="shared" si="51"/>
        <v>-117083.55006747029</v>
      </c>
      <c r="X193" s="295">
        <f t="shared" si="52"/>
        <v>0</v>
      </c>
      <c r="Y193" s="295">
        <f t="shared" si="53"/>
        <v>-47.116116727352228</v>
      </c>
      <c r="Z193" s="295"/>
      <c r="AA193" s="295">
        <f t="shared" si="54"/>
        <v>0</v>
      </c>
      <c r="AB193" s="210">
        <f t="shared" si="55"/>
        <v>0.94232233454704462</v>
      </c>
      <c r="AC193" s="210">
        <f t="shared" si="56"/>
        <v>0.94232233454704462</v>
      </c>
      <c r="AD193" s="210">
        <f t="shared" si="57"/>
        <v>0.94232233454704462</v>
      </c>
      <c r="AE193" s="210">
        <f t="shared" si="58"/>
        <v>0.94232233454704462</v>
      </c>
      <c r="AF193" s="227">
        <f t="shared" si="59"/>
        <v>0.05</v>
      </c>
      <c r="AG193" s="227">
        <f>ROUNDDOWN(SUM(AF$191:AF193)-SUM(AG$191:AG192),0)*$A193</f>
        <v>0</v>
      </c>
      <c r="AH193" s="227">
        <f t="shared" si="60"/>
        <v>0</v>
      </c>
      <c r="AI193" s="210">
        <f t="shared" si="61"/>
        <v>0.94232233454704462</v>
      </c>
      <c r="AJ193" s="210">
        <f t="shared" si="62"/>
        <v>0.94232233454704462</v>
      </c>
      <c r="AK193" s="210">
        <f t="shared" si="63"/>
        <v>0.94232233454704462</v>
      </c>
      <c r="AL193" s="210">
        <f t="shared" si="64"/>
        <v>0.94232233454704462</v>
      </c>
      <c r="AM193" s="210">
        <f t="shared" si="65"/>
        <v>0.05</v>
      </c>
      <c r="AN193" s="227">
        <f>ROUNDDOWN(SUM(AM$191:AM193)-SUM(AN$191:AN192),0)*$A193</f>
        <v>0</v>
      </c>
      <c r="AO193" s="227">
        <f t="shared" si="66"/>
        <v>0</v>
      </c>
      <c r="AP193" s="210">
        <f t="shared" si="67"/>
        <v>0.94232233454704462</v>
      </c>
      <c r="AQ193" s="210">
        <f t="shared" si="68"/>
        <v>0.94232233454704462</v>
      </c>
      <c r="AR193" s="210">
        <f t="shared" si="69"/>
        <v>0.94232233454704462</v>
      </c>
      <c r="AS193" s="210">
        <f t="shared" si="70"/>
        <v>0.94232233454704462</v>
      </c>
      <c r="AT193" s="210">
        <f t="shared" si="71"/>
        <v>0.94232233454704462</v>
      </c>
      <c r="AU193" s="227">
        <f t="shared" si="72"/>
        <v>1.0612079999999999</v>
      </c>
      <c r="AV193" s="227">
        <f t="shared" si="79"/>
        <v>1</v>
      </c>
      <c r="AW193" s="227">
        <f t="shared" si="80"/>
        <v>1</v>
      </c>
      <c r="AX193" s="227">
        <f t="shared" si="81"/>
        <v>1</v>
      </c>
      <c r="AY193" s="227">
        <f t="shared" si="82"/>
        <v>1</v>
      </c>
      <c r="AZ193" s="227">
        <f t="shared" si="83"/>
        <v>1</v>
      </c>
      <c r="BB193" s="227"/>
      <c r="BC193" s="227"/>
      <c r="BD193" s="227"/>
      <c r="BE193" s="227"/>
      <c r="BF193" s="227"/>
      <c r="BG193" s="227"/>
      <c r="BH193" s="227"/>
      <c r="BI193" s="227"/>
      <c r="BJ193" s="227"/>
      <c r="BK193" s="227"/>
    </row>
    <row r="194" spans="1:63" x14ac:dyDescent="0.3">
      <c r="A194" s="210">
        <f t="shared" si="73"/>
        <v>1</v>
      </c>
      <c r="B194" s="210">
        <f t="shared" si="74"/>
        <v>1</v>
      </c>
      <c r="C194" s="210">
        <f t="shared" si="41"/>
        <v>1</v>
      </c>
      <c r="D194" s="210">
        <f t="shared" si="75"/>
        <v>1</v>
      </c>
      <c r="E194" s="210">
        <f t="shared" si="42"/>
        <v>1</v>
      </c>
      <c r="F194" s="297">
        <v>4</v>
      </c>
      <c r="G194" s="210">
        <f t="shared" si="76"/>
        <v>5</v>
      </c>
      <c r="I194" s="210">
        <v>4</v>
      </c>
      <c r="J194" s="295">
        <f t="shared" si="43"/>
        <v>-4474271.6073772237</v>
      </c>
      <c r="K194" s="295">
        <f t="shared" si="77"/>
        <v>-1085564.5678524554</v>
      </c>
      <c r="L194" s="295"/>
      <c r="M194" s="295">
        <f t="shared" si="44"/>
        <v>-923845.42602651415</v>
      </c>
      <c r="N194" s="295">
        <f t="shared" si="45"/>
        <v>-161672.94955463998</v>
      </c>
      <c r="O194" s="295">
        <f t="shared" si="46"/>
        <v>0</v>
      </c>
      <c r="P194" s="295">
        <f t="shared" si="47"/>
        <v>-46.192271301325711</v>
      </c>
      <c r="Q194" s="295"/>
      <c r="R194" s="295">
        <f t="shared" si="78"/>
        <v>0</v>
      </c>
      <c r="S194" s="295">
        <f t="shared" si="48"/>
        <v>-4469144.3602340864</v>
      </c>
      <c r="T194" s="295">
        <f t="shared" si="49"/>
        <v>-1028517.1127953182</v>
      </c>
      <c r="U194" s="295"/>
      <c r="V194" s="295">
        <f t="shared" si="50"/>
        <v>-913683.12634022254</v>
      </c>
      <c r="W194" s="295">
        <f t="shared" si="51"/>
        <v>-114787.79418379439</v>
      </c>
      <c r="X194" s="295">
        <f t="shared" si="52"/>
        <v>0</v>
      </c>
      <c r="Y194" s="295">
        <f t="shared" si="53"/>
        <v>-46.192271301325711</v>
      </c>
      <c r="Z194" s="295"/>
      <c r="AA194" s="295">
        <f t="shared" si="54"/>
        <v>0</v>
      </c>
      <c r="AB194" s="210">
        <f t="shared" si="55"/>
        <v>0.9238454260265142</v>
      </c>
      <c r="AC194" s="210">
        <f t="shared" si="56"/>
        <v>0.9238454260265142</v>
      </c>
      <c r="AD194" s="210">
        <f t="shared" si="57"/>
        <v>0.9238454260265142</v>
      </c>
      <c r="AE194" s="210">
        <f t="shared" si="58"/>
        <v>0.9238454260265142</v>
      </c>
      <c r="AF194" s="227">
        <f t="shared" si="59"/>
        <v>0.05</v>
      </c>
      <c r="AG194" s="227">
        <f>ROUNDDOWN(SUM(AF$191:AF194)-SUM(AG$191:AG193),0)*$A194</f>
        <v>0</v>
      </c>
      <c r="AH194" s="227">
        <f t="shared" si="60"/>
        <v>0</v>
      </c>
      <c r="AI194" s="210">
        <f t="shared" si="61"/>
        <v>0.9238454260265142</v>
      </c>
      <c r="AJ194" s="210">
        <f t="shared" si="62"/>
        <v>0.9238454260265142</v>
      </c>
      <c r="AK194" s="210">
        <f t="shared" si="63"/>
        <v>0.9238454260265142</v>
      </c>
      <c r="AL194" s="210">
        <f t="shared" si="64"/>
        <v>0.9238454260265142</v>
      </c>
      <c r="AM194" s="210">
        <f t="shared" si="65"/>
        <v>0.05</v>
      </c>
      <c r="AN194" s="227">
        <f>ROUNDDOWN(SUM(AM$191:AM194)-SUM(AN$191:AN193),0)*$A194</f>
        <v>0</v>
      </c>
      <c r="AO194" s="227">
        <f t="shared" si="66"/>
        <v>0</v>
      </c>
      <c r="AP194" s="210">
        <f t="shared" si="67"/>
        <v>0.9238454260265142</v>
      </c>
      <c r="AQ194" s="210">
        <f t="shared" si="68"/>
        <v>0.9238454260265142</v>
      </c>
      <c r="AR194" s="210">
        <f t="shared" si="69"/>
        <v>0.9238454260265142</v>
      </c>
      <c r="AS194" s="210">
        <f t="shared" si="70"/>
        <v>0.9238454260265142</v>
      </c>
      <c r="AT194" s="210">
        <f t="shared" si="71"/>
        <v>0.9238454260265142</v>
      </c>
      <c r="AU194" s="227">
        <f t="shared" si="72"/>
        <v>1.08243216</v>
      </c>
      <c r="AV194" s="227">
        <f t="shared" si="79"/>
        <v>1</v>
      </c>
      <c r="AW194" s="227">
        <f t="shared" si="80"/>
        <v>1</v>
      </c>
      <c r="AX194" s="227">
        <f t="shared" si="81"/>
        <v>1</v>
      </c>
      <c r="AY194" s="227">
        <f t="shared" si="82"/>
        <v>1</v>
      </c>
      <c r="AZ194" s="227">
        <f t="shared" si="83"/>
        <v>1</v>
      </c>
      <c r="BB194" s="227"/>
      <c r="BC194" s="227"/>
      <c r="BD194" s="227"/>
      <c r="BE194" s="227"/>
      <c r="BF194" s="227"/>
      <c r="BG194" s="227"/>
      <c r="BH194" s="227"/>
      <c r="BI194" s="227"/>
      <c r="BJ194" s="227"/>
      <c r="BK194" s="227"/>
    </row>
    <row r="195" spans="1:63" x14ac:dyDescent="0.3">
      <c r="A195" s="210">
        <f t="shared" si="73"/>
        <v>1</v>
      </c>
      <c r="B195" s="210">
        <f t="shared" si="74"/>
        <v>1</v>
      </c>
      <c r="C195" s="210">
        <f t="shared" si="41"/>
        <v>1</v>
      </c>
      <c r="D195" s="210">
        <f t="shared" si="75"/>
        <v>1</v>
      </c>
      <c r="E195" s="210">
        <f t="shared" si="42"/>
        <v>1</v>
      </c>
      <c r="F195" s="297">
        <v>5</v>
      </c>
      <c r="G195" s="210">
        <f t="shared" si="76"/>
        <v>6</v>
      </c>
      <c r="I195" s="210">
        <v>5</v>
      </c>
      <c r="J195" s="295">
        <f t="shared" si="43"/>
        <v>-5538550.5954678664</v>
      </c>
      <c r="K195" s="295">
        <f t="shared" si="77"/>
        <v>-1064278.9880906427</v>
      </c>
      <c r="L195" s="295"/>
      <c r="M195" s="295">
        <f t="shared" si="44"/>
        <v>-905730.80982991587</v>
      </c>
      <c r="N195" s="295">
        <f t="shared" si="45"/>
        <v>-158502.89172023529</v>
      </c>
      <c r="O195" s="295">
        <f t="shared" si="46"/>
        <v>0</v>
      </c>
      <c r="P195" s="295">
        <f t="shared" si="47"/>
        <v>-45.286540491495799</v>
      </c>
      <c r="Q195" s="295"/>
      <c r="R195" s="295">
        <f t="shared" si="78"/>
        <v>0</v>
      </c>
      <c r="S195" s="295">
        <f t="shared" si="48"/>
        <v>-5477494.4708177317</v>
      </c>
      <c r="T195" s="295">
        <f t="shared" si="49"/>
        <v>-1008350.1105836455</v>
      </c>
      <c r="U195" s="295"/>
      <c r="V195" s="295">
        <f t="shared" si="50"/>
        <v>-895767.7709217869</v>
      </c>
      <c r="W195" s="295">
        <f t="shared" si="51"/>
        <v>-112537.05312136706</v>
      </c>
      <c r="X195" s="295">
        <f t="shared" si="52"/>
        <v>0</v>
      </c>
      <c r="Y195" s="295">
        <f t="shared" si="53"/>
        <v>-45.286540491495799</v>
      </c>
      <c r="Z195" s="295"/>
      <c r="AA195" s="295">
        <f t="shared" si="54"/>
        <v>0</v>
      </c>
      <c r="AB195" s="210">
        <f t="shared" si="55"/>
        <v>0.90573080982991594</v>
      </c>
      <c r="AC195" s="210">
        <f t="shared" si="56"/>
        <v>0.90573080982991594</v>
      </c>
      <c r="AD195" s="210">
        <f t="shared" si="57"/>
        <v>0.90573080982991594</v>
      </c>
      <c r="AE195" s="210">
        <f t="shared" si="58"/>
        <v>0.90573080982991594</v>
      </c>
      <c r="AF195" s="227">
        <f t="shared" si="59"/>
        <v>0.05</v>
      </c>
      <c r="AG195" s="227">
        <f>ROUNDDOWN(SUM(AF$191:AF195)-SUM(AG$191:AG194),0)*$A195</f>
        <v>0</v>
      </c>
      <c r="AH195" s="227">
        <f t="shared" si="60"/>
        <v>0</v>
      </c>
      <c r="AI195" s="210">
        <f t="shared" si="61"/>
        <v>0.90573080982991594</v>
      </c>
      <c r="AJ195" s="210">
        <f t="shared" si="62"/>
        <v>0.90573080982991594</v>
      </c>
      <c r="AK195" s="210">
        <f t="shared" si="63"/>
        <v>0.90573080982991594</v>
      </c>
      <c r="AL195" s="210">
        <f t="shared" si="64"/>
        <v>0.90573080982991594</v>
      </c>
      <c r="AM195" s="210">
        <f t="shared" si="65"/>
        <v>0.05</v>
      </c>
      <c r="AN195" s="227">
        <f>ROUNDDOWN(SUM(AM$191:AM195)-SUM(AN$191:AN194),0)*$A195</f>
        <v>0</v>
      </c>
      <c r="AO195" s="227">
        <f t="shared" si="66"/>
        <v>0</v>
      </c>
      <c r="AP195" s="210">
        <f t="shared" si="67"/>
        <v>0.90573080982991594</v>
      </c>
      <c r="AQ195" s="210">
        <f t="shared" si="68"/>
        <v>0.90573080982991594</v>
      </c>
      <c r="AR195" s="210">
        <f t="shared" si="69"/>
        <v>0.90573080982991594</v>
      </c>
      <c r="AS195" s="210">
        <f t="shared" si="70"/>
        <v>0.90573080982991594</v>
      </c>
      <c r="AT195" s="210">
        <f t="shared" si="71"/>
        <v>0.90573080982991594</v>
      </c>
      <c r="AU195" s="227">
        <f t="shared" si="72"/>
        <v>1.1040808032</v>
      </c>
      <c r="AV195" s="227">
        <f t="shared" si="79"/>
        <v>1</v>
      </c>
      <c r="AW195" s="227">
        <f t="shared" si="80"/>
        <v>1</v>
      </c>
      <c r="AX195" s="227">
        <f t="shared" si="81"/>
        <v>1</v>
      </c>
      <c r="AY195" s="227">
        <f t="shared" si="82"/>
        <v>1</v>
      </c>
      <c r="AZ195" s="227">
        <f t="shared" si="83"/>
        <v>1</v>
      </c>
      <c r="BB195" s="227"/>
      <c r="BC195" s="227"/>
      <c r="BD195" s="227"/>
      <c r="BE195" s="227"/>
      <c r="BF195" s="227"/>
      <c r="BG195" s="227"/>
      <c r="BH195" s="227"/>
      <c r="BI195" s="227"/>
      <c r="BJ195" s="227"/>
      <c r="BK195" s="227"/>
    </row>
    <row r="196" spans="1:63" x14ac:dyDescent="0.3">
      <c r="A196" s="210">
        <f t="shared" si="73"/>
        <v>1</v>
      </c>
      <c r="B196" s="210">
        <f t="shared" si="74"/>
        <v>1</v>
      </c>
      <c r="C196" s="210">
        <f t="shared" si="41"/>
        <v>1</v>
      </c>
      <c r="D196" s="210">
        <f t="shared" si="75"/>
        <v>1</v>
      </c>
      <c r="E196" s="210">
        <f t="shared" si="42"/>
        <v>1</v>
      </c>
      <c r="F196" s="297">
        <v>6</v>
      </c>
      <c r="G196" s="210">
        <f t="shared" si="76"/>
        <v>7</v>
      </c>
      <c r="I196" s="210">
        <v>6</v>
      </c>
      <c r="J196" s="295">
        <f t="shared" si="43"/>
        <v>-6581961.3681057515</v>
      </c>
      <c r="K196" s="295">
        <f t="shared" si="77"/>
        <v>-1043410.7726378848</v>
      </c>
      <c r="L196" s="295"/>
      <c r="M196" s="295">
        <f t="shared" si="44"/>
        <v>-887971.38218619197</v>
      </c>
      <c r="N196" s="295">
        <f t="shared" si="45"/>
        <v>-155394.99188258359</v>
      </c>
      <c r="O196" s="295">
        <f t="shared" si="46"/>
        <v>0</v>
      </c>
      <c r="P196" s="295">
        <f t="shared" si="47"/>
        <v>-44.398569109309598</v>
      </c>
      <c r="Q196" s="295"/>
      <c r="R196" s="295">
        <f t="shared" si="78"/>
        <v>0</v>
      </c>
      <c r="S196" s="295">
        <f t="shared" si="48"/>
        <v>-6466073.0106056193</v>
      </c>
      <c r="T196" s="295">
        <f t="shared" si="49"/>
        <v>-988578.53978788748</v>
      </c>
      <c r="U196" s="295"/>
      <c r="V196" s="295">
        <f t="shared" si="50"/>
        <v>-878203.6969821438</v>
      </c>
      <c r="W196" s="295">
        <f t="shared" si="51"/>
        <v>-110330.44423663436</v>
      </c>
      <c r="X196" s="295">
        <f t="shared" si="52"/>
        <v>0</v>
      </c>
      <c r="Y196" s="295">
        <f t="shared" si="53"/>
        <v>-44.398569109309598</v>
      </c>
      <c r="Z196" s="295"/>
      <c r="AA196" s="295">
        <f t="shared" si="54"/>
        <v>0</v>
      </c>
      <c r="AB196" s="210">
        <f t="shared" si="55"/>
        <v>0.88797138218619198</v>
      </c>
      <c r="AC196" s="210">
        <f t="shared" si="56"/>
        <v>0.88797138218619198</v>
      </c>
      <c r="AD196" s="210">
        <f t="shared" si="57"/>
        <v>0.88797138218619198</v>
      </c>
      <c r="AE196" s="210">
        <f t="shared" si="58"/>
        <v>0.88797138218619198</v>
      </c>
      <c r="AF196" s="227">
        <f t="shared" si="59"/>
        <v>0.05</v>
      </c>
      <c r="AG196" s="227">
        <f>ROUNDDOWN(SUM(AF$191:AF196)-SUM(AG$191:AG195),0)*$A196</f>
        <v>0</v>
      </c>
      <c r="AH196" s="227">
        <f t="shared" si="60"/>
        <v>0</v>
      </c>
      <c r="AI196" s="210">
        <f t="shared" si="61"/>
        <v>0.88797138218619198</v>
      </c>
      <c r="AJ196" s="210">
        <f t="shared" si="62"/>
        <v>0.88797138218619198</v>
      </c>
      <c r="AK196" s="210">
        <f t="shared" si="63"/>
        <v>0.88797138218619198</v>
      </c>
      <c r="AL196" s="210">
        <f t="shared" si="64"/>
        <v>0.88797138218619198</v>
      </c>
      <c r="AM196" s="210">
        <f t="shared" si="65"/>
        <v>0.05</v>
      </c>
      <c r="AN196" s="227">
        <f>ROUNDDOWN(SUM(AM$191:AM196)-SUM(AN$191:AN195),0)*$A196</f>
        <v>0</v>
      </c>
      <c r="AO196" s="227">
        <f t="shared" si="66"/>
        <v>0</v>
      </c>
      <c r="AP196" s="210">
        <f t="shared" si="67"/>
        <v>0.88797138218619198</v>
      </c>
      <c r="AQ196" s="210">
        <f t="shared" si="68"/>
        <v>0.88797138218619198</v>
      </c>
      <c r="AR196" s="210">
        <f t="shared" si="69"/>
        <v>0.88797138218619198</v>
      </c>
      <c r="AS196" s="210">
        <f t="shared" si="70"/>
        <v>0.88797138218619198</v>
      </c>
      <c r="AT196" s="210">
        <f t="shared" si="71"/>
        <v>0.88797138218619198</v>
      </c>
      <c r="AU196" s="227">
        <f t="shared" si="72"/>
        <v>1.1261624192640001</v>
      </c>
      <c r="AV196" s="227">
        <f t="shared" si="79"/>
        <v>1</v>
      </c>
      <c r="AW196" s="227">
        <f t="shared" si="80"/>
        <v>1</v>
      </c>
      <c r="AX196" s="227">
        <f t="shared" si="81"/>
        <v>1</v>
      </c>
      <c r="AY196" s="227">
        <f t="shared" si="82"/>
        <v>1</v>
      </c>
      <c r="AZ196" s="227">
        <f t="shared" si="83"/>
        <v>1</v>
      </c>
      <c r="BB196" s="227"/>
      <c r="BC196" s="227"/>
      <c r="BD196" s="227"/>
      <c r="BE196" s="227"/>
      <c r="BF196" s="227"/>
      <c r="BG196" s="227"/>
      <c r="BH196" s="227"/>
      <c r="BI196" s="227"/>
      <c r="BJ196" s="227"/>
      <c r="BK196" s="227"/>
    </row>
    <row r="197" spans="1:63" x14ac:dyDescent="0.3">
      <c r="A197" s="210">
        <f t="shared" si="73"/>
        <v>1</v>
      </c>
      <c r="B197" s="210">
        <f t="shared" si="74"/>
        <v>1</v>
      </c>
      <c r="C197" s="210">
        <f t="shared" si="41"/>
        <v>1</v>
      </c>
      <c r="D197" s="210">
        <f t="shared" si="75"/>
        <v>1</v>
      </c>
      <c r="E197" s="210">
        <f t="shared" si="42"/>
        <v>1</v>
      </c>
      <c r="F197" s="297">
        <v>7</v>
      </c>
      <c r="G197" s="210">
        <f t="shared" si="76"/>
        <v>8</v>
      </c>
      <c r="I197" s="210">
        <v>7</v>
      </c>
      <c r="J197" s="295">
        <f t="shared" si="43"/>
        <v>-7604913.1059860308</v>
      </c>
      <c r="K197" s="295">
        <f t="shared" si="77"/>
        <v>-1022951.7378802797</v>
      </c>
      <c r="L197" s="295"/>
      <c r="M197" s="295">
        <f t="shared" si="44"/>
        <v>-870560.17861391394</v>
      </c>
      <c r="N197" s="295">
        <f t="shared" si="45"/>
        <v>-152348.03125743492</v>
      </c>
      <c r="O197" s="295">
        <f t="shared" si="46"/>
        <v>0</v>
      </c>
      <c r="P197" s="295">
        <f t="shared" si="47"/>
        <v>-43.528008930695691</v>
      </c>
      <c r="Q197" s="295"/>
      <c r="R197" s="295">
        <f t="shared" si="78"/>
        <v>0</v>
      </c>
      <c r="S197" s="295">
        <f t="shared" si="48"/>
        <v>-7435267.6574564893</v>
      </c>
      <c r="T197" s="295">
        <f t="shared" si="49"/>
        <v>-969194.64685087046</v>
      </c>
      <c r="U197" s="295"/>
      <c r="V197" s="295">
        <f t="shared" si="50"/>
        <v>-860984.01664916088</v>
      </c>
      <c r="W197" s="295">
        <f t="shared" si="51"/>
        <v>-108167.1021927788</v>
      </c>
      <c r="X197" s="295">
        <f t="shared" si="52"/>
        <v>0</v>
      </c>
      <c r="Y197" s="295">
        <f t="shared" si="53"/>
        <v>-43.528008930695691</v>
      </c>
      <c r="Z197" s="295"/>
      <c r="AA197" s="295">
        <f t="shared" si="54"/>
        <v>0</v>
      </c>
      <c r="AB197" s="210">
        <f t="shared" si="55"/>
        <v>0.87056017861391388</v>
      </c>
      <c r="AC197" s="210">
        <f t="shared" si="56"/>
        <v>0.87056017861391388</v>
      </c>
      <c r="AD197" s="210">
        <f t="shared" si="57"/>
        <v>0.87056017861391388</v>
      </c>
      <c r="AE197" s="210">
        <f t="shared" si="58"/>
        <v>0.87056017861391388</v>
      </c>
      <c r="AF197" s="227">
        <f t="shared" si="59"/>
        <v>0.05</v>
      </c>
      <c r="AG197" s="227">
        <f>ROUNDDOWN(SUM(AF$191:AF197)-SUM(AG$191:AG196),0)*$A197</f>
        <v>0</v>
      </c>
      <c r="AH197" s="227">
        <f t="shared" si="60"/>
        <v>0</v>
      </c>
      <c r="AI197" s="210">
        <f t="shared" si="61"/>
        <v>0.87056017861391388</v>
      </c>
      <c r="AJ197" s="210">
        <f t="shared" si="62"/>
        <v>0.87056017861391388</v>
      </c>
      <c r="AK197" s="210">
        <f t="shared" si="63"/>
        <v>0.87056017861391388</v>
      </c>
      <c r="AL197" s="210">
        <f t="shared" si="64"/>
        <v>0.87056017861391388</v>
      </c>
      <c r="AM197" s="210">
        <f t="shared" si="65"/>
        <v>0.05</v>
      </c>
      <c r="AN197" s="227">
        <f>ROUNDDOWN(SUM(AM$191:AM197)-SUM(AN$191:AN196),0)*$A197</f>
        <v>0</v>
      </c>
      <c r="AO197" s="227">
        <f t="shared" si="66"/>
        <v>0</v>
      </c>
      <c r="AP197" s="210">
        <f t="shared" si="67"/>
        <v>0.87056017861391388</v>
      </c>
      <c r="AQ197" s="210">
        <f t="shared" si="68"/>
        <v>0.87056017861391388</v>
      </c>
      <c r="AR197" s="210">
        <f t="shared" si="69"/>
        <v>0.87056017861391388</v>
      </c>
      <c r="AS197" s="210">
        <f t="shared" si="70"/>
        <v>0.87056017861391388</v>
      </c>
      <c r="AT197" s="210">
        <f t="shared" si="71"/>
        <v>0.87056017861391388</v>
      </c>
      <c r="AU197" s="227">
        <f t="shared" si="72"/>
        <v>1.1486856676492798</v>
      </c>
      <c r="AV197" s="227">
        <f t="shared" si="79"/>
        <v>1</v>
      </c>
      <c r="AW197" s="227">
        <f t="shared" si="80"/>
        <v>1</v>
      </c>
      <c r="AX197" s="227">
        <f t="shared" si="81"/>
        <v>1</v>
      </c>
      <c r="AY197" s="227">
        <f t="shared" si="82"/>
        <v>1</v>
      </c>
      <c r="AZ197" s="227">
        <f t="shared" si="83"/>
        <v>1</v>
      </c>
      <c r="BB197" s="227"/>
      <c r="BC197" s="227"/>
      <c r="BD197" s="227"/>
      <c r="BE197" s="227"/>
      <c r="BF197" s="227"/>
      <c r="BG197" s="227"/>
      <c r="BH197" s="227"/>
      <c r="BI197" s="227"/>
      <c r="BJ197" s="227"/>
      <c r="BK197" s="227"/>
    </row>
    <row r="198" spans="1:63" x14ac:dyDescent="0.3">
      <c r="A198" s="210">
        <f t="shared" si="73"/>
        <v>1</v>
      </c>
      <c r="B198" s="210">
        <f t="shared" si="74"/>
        <v>1</v>
      </c>
      <c r="C198" s="210">
        <f t="shared" si="41"/>
        <v>1</v>
      </c>
      <c r="D198" s="210">
        <f t="shared" si="75"/>
        <v>1</v>
      </c>
      <c r="E198" s="210">
        <f t="shared" si="42"/>
        <v>1</v>
      </c>
      <c r="F198" s="297">
        <v>8</v>
      </c>
      <c r="G198" s="210">
        <f t="shared" si="76"/>
        <v>9</v>
      </c>
      <c r="I198" s="210">
        <v>8</v>
      </c>
      <c r="J198" s="295">
        <f t="shared" si="43"/>
        <v>-8607806.9666529708</v>
      </c>
      <c r="K198" s="295">
        <f t="shared" si="77"/>
        <v>-1002893.8606669406</v>
      </c>
      <c r="L198" s="295"/>
      <c r="M198" s="295">
        <f t="shared" si="44"/>
        <v>-853490.37119011162</v>
      </c>
      <c r="N198" s="295">
        <f t="shared" si="45"/>
        <v>-149360.81495826953</v>
      </c>
      <c r="O198" s="295">
        <f t="shared" si="46"/>
        <v>0</v>
      </c>
      <c r="P198" s="295">
        <f t="shared" si="47"/>
        <v>-42.674518559505579</v>
      </c>
      <c r="Q198" s="295"/>
      <c r="R198" s="295">
        <f t="shared" si="78"/>
        <v>0</v>
      </c>
      <c r="S198" s="295">
        <f t="shared" si="48"/>
        <v>-8385458.4877024405</v>
      </c>
      <c r="T198" s="295">
        <f t="shared" si="49"/>
        <v>-950190.83024595119</v>
      </c>
      <c r="U198" s="295"/>
      <c r="V198" s="295">
        <f t="shared" si="50"/>
        <v>-844101.97710702033</v>
      </c>
      <c r="W198" s="295">
        <f t="shared" si="51"/>
        <v>-106046.17862037137</v>
      </c>
      <c r="X198" s="295">
        <f t="shared" si="52"/>
        <v>0</v>
      </c>
      <c r="Y198" s="295">
        <f t="shared" si="53"/>
        <v>-42.674518559505579</v>
      </c>
      <c r="Z198" s="295"/>
      <c r="AA198" s="295">
        <f t="shared" si="54"/>
        <v>0</v>
      </c>
      <c r="AB198" s="210">
        <f t="shared" si="55"/>
        <v>0.85349037119011162</v>
      </c>
      <c r="AC198" s="210">
        <f t="shared" si="56"/>
        <v>0.85349037119011162</v>
      </c>
      <c r="AD198" s="210">
        <f t="shared" si="57"/>
        <v>0.85349037119011162</v>
      </c>
      <c r="AE198" s="210">
        <f t="shared" si="58"/>
        <v>0.85349037119011162</v>
      </c>
      <c r="AF198" s="227">
        <f t="shared" si="59"/>
        <v>0.05</v>
      </c>
      <c r="AG198" s="227">
        <f>ROUNDDOWN(SUM(AF$191:AF198)-SUM(AG$191:AG197),0)*$A198</f>
        <v>0</v>
      </c>
      <c r="AH198" s="227">
        <f t="shared" si="60"/>
        <v>0</v>
      </c>
      <c r="AI198" s="210">
        <f t="shared" si="61"/>
        <v>0.85349037119011162</v>
      </c>
      <c r="AJ198" s="210">
        <f t="shared" si="62"/>
        <v>0.85349037119011162</v>
      </c>
      <c r="AK198" s="210">
        <f t="shared" si="63"/>
        <v>0.85349037119011162</v>
      </c>
      <c r="AL198" s="210">
        <f t="shared" si="64"/>
        <v>0.85349037119011162</v>
      </c>
      <c r="AM198" s="210">
        <f t="shared" si="65"/>
        <v>0.05</v>
      </c>
      <c r="AN198" s="227">
        <f>ROUNDDOWN(SUM(AM$191:AM198)-SUM(AN$191:AN197),0)*$A198</f>
        <v>0</v>
      </c>
      <c r="AO198" s="227">
        <f t="shared" si="66"/>
        <v>0</v>
      </c>
      <c r="AP198" s="210">
        <f t="shared" si="67"/>
        <v>0.85349037119011162</v>
      </c>
      <c r="AQ198" s="210">
        <f t="shared" si="68"/>
        <v>0.85349037119011162</v>
      </c>
      <c r="AR198" s="210">
        <f t="shared" si="69"/>
        <v>0.85349037119011162</v>
      </c>
      <c r="AS198" s="210">
        <f t="shared" si="70"/>
        <v>0.85349037119011162</v>
      </c>
      <c r="AT198" s="210">
        <f t="shared" si="71"/>
        <v>0.85349037119011162</v>
      </c>
      <c r="AU198" s="227">
        <f t="shared" si="72"/>
        <v>1.1716593810022655</v>
      </c>
      <c r="AV198" s="227">
        <f t="shared" si="79"/>
        <v>1</v>
      </c>
      <c r="AW198" s="227">
        <f t="shared" si="80"/>
        <v>1</v>
      </c>
      <c r="AX198" s="227">
        <f t="shared" si="81"/>
        <v>1</v>
      </c>
      <c r="AY198" s="227">
        <f t="shared" si="82"/>
        <v>1</v>
      </c>
      <c r="AZ198" s="227">
        <f t="shared" si="83"/>
        <v>1</v>
      </c>
      <c r="BB198" s="227"/>
      <c r="BC198" s="227"/>
      <c r="BD198" s="227"/>
      <c r="BE198" s="227"/>
      <c r="BF198" s="227"/>
      <c r="BG198" s="227"/>
      <c r="BH198" s="227"/>
      <c r="BI198" s="227"/>
      <c r="BJ198" s="227"/>
      <c r="BK198" s="227"/>
    </row>
    <row r="199" spans="1:63" x14ac:dyDescent="0.3">
      <c r="A199" s="210">
        <f t="shared" si="73"/>
        <v>1</v>
      </c>
      <c r="B199" s="210">
        <f t="shared" si="74"/>
        <v>1</v>
      </c>
      <c r="C199" s="210">
        <f t="shared" si="41"/>
        <v>1</v>
      </c>
      <c r="D199" s="210">
        <f t="shared" si="75"/>
        <v>1</v>
      </c>
      <c r="E199" s="210">
        <f t="shared" si="42"/>
        <v>1</v>
      </c>
      <c r="F199" s="297">
        <v>9</v>
      </c>
      <c r="G199" s="210">
        <f t="shared" si="76"/>
        <v>10</v>
      </c>
      <c r="I199" s="210">
        <v>9</v>
      </c>
      <c r="J199" s="295">
        <f t="shared" si="43"/>
        <v>-9591036.241816638</v>
      </c>
      <c r="K199" s="295">
        <f t="shared" si="77"/>
        <v>-983229.27516366728</v>
      </c>
      <c r="L199" s="295"/>
      <c r="M199" s="295">
        <f t="shared" si="44"/>
        <v>-836755.26587265846</v>
      </c>
      <c r="N199" s="295">
        <f t="shared" si="45"/>
        <v>-146432.17152771523</v>
      </c>
      <c r="O199" s="295">
        <f t="shared" si="46"/>
        <v>0</v>
      </c>
      <c r="P199" s="295">
        <f t="shared" si="47"/>
        <v>-41.837763293632925</v>
      </c>
      <c r="Q199" s="295"/>
      <c r="R199" s="295">
        <f t="shared" si="78"/>
        <v>0</v>
      </c>
      <c r="S199" s="295">
        <f t="shared" si="48"/>
        <v>-9317018.1251984704</v>
      </c>
      <c r="T199" s="295">
        <f t="shared" si="49"/>
        <v>-931559.63749603077</v>
      </c>
      <c r="U199" s="295"/>
      <c r="V199" s="295">
        <f t="shared" si="50"/>
        <v>-827550.95794805931</v>
      </c>
      <c r="W199" s="295">
        <f t="shared" si="51"/>
        <v>-103966.84178467782</v>
      </c>
      <c r="X199" s="295">
        <f t="shared" si="52"/>
        <v>0</v>
      </c>
      <c r="Y199" s="295">
        <f t="shared" si="53"/>
        <v>-41.837763293632925</v>
      </c>
      <c r="Z199" s="295"/>
      <c r="AA199" s="295">
        <f t="shared" si="54"/>
        <v>0</v>
      </c>
      <c r="AB199" s="210">
        <f t="shared" si="55"/>
        <v>0.83675526587265847</v>
      </c>
      <c r="AC199" s="210">
        <f t="shared" si="56"/>
        <v>0.83675526587265847</v>
      </c>
      <c r="AD199" s="210">
        <f t="shared" si="57"/>
        <v>0.83675526587265847</v>
      </c>
      <c r="AE199" s="210">
        <f t="shared" si="58"/>
        <v>0.83675526587265847</v>
      </c>
      <c r="AF199" s="227">
        <f t="shared" si="59"/>
        <v>0.05</v>
      </c>
      <c r="AG199" s="227">
        <f>ROUNDDOWN(SUM(AF$191:AF199)-SUM(AG$191:AG198),0)*$A199</f>
        <v>0</v>
      </c>
      <c r="AH199" s="227">
        <f t="shared" si="60"/>
        <v>0</v>
      </c>
      <c r="AI199" s="210">
        <f t="shared" si="61"/>
        <v>0.83675526587265847</v>
      </c>
      <c r="AJ199" s="210">
        <f t="shared" si="62"/>
        <v>0.83675526587265847</v>
      </c>
      <c r="AK199" s="210">
        <f t="shared" si="63"/>
        <v>0.83675526587265847</v>
      </c>
      <c r="AL199" s="210">
        <f t="shared" si="64"/>
        <v>0.83675526587265847</v>
      </c>
      <c r="AM199" s="210">
        <f t="shared" si="65"/>
        <v>0.05</v>
      </c>
      <c r="AN199" s="227">
        <f>ROUNDDOWN(SUM(AM$191:AM199)-SUM(AN$191:AN198),0)*$A199</f>
        <v>0</v>
      </c>
      <c r="AO199" s="227">
        <f t="shared" si="66"/>
        <v>0</v>
      </c>
      <c r="AP199" s="210">
        <f t="shared" si="67"/>
        <v>0.83675526587265847</v>
      </c>
      <c r="AQ199" s="210">
        <f t="shared" si="68"/>
        <v>0.83675526587265847</v>
      </c>
      <c r="AR199" s="210">
        <f t="shared" si="69"/>
        <v>0.83675526587265847</v>
      </c>
      <c r="AS199" s="210">
        <f t="shared" si="70"/>
        <v>0.83675526587265847</v>
      </c>
      <c r="AT199" s="210">
        <f t="shared" si="71"/>
        <v>0.83675526587265847</v>
      </c>
      <c r="AU199" s="227">
        <f t="shared" si="72"/>
        <v>1.1950925686223108</v>
      </c>
      <c r="AV199" s="227">
        <f t="shared" si="79"/>
        <v>1</v>
      </c>
      <c r="AW199" s="227">
        <f t="shared" si="80"/>
        <v>1</v>
      </c>
      <c r="AX199" s="227">
        <f t="shared" si="81"/>
        <v>1</v>
      </c>
      <c r="AY199" s="227">
        <f t="shared" si="82"/>
        <v>1</v>
      </c>
      <c r="AZ199" s="227">
        <f t="shared" si="83"/>
        <v>1</v>
      </c>
      <c r="BB199" s="227"/>
      <c r="BC199" s="227"/>
      <c r="BD199" s="227"/>
      <c r="BE199" s="227"/>
      <c r="BF199" s="227"/>
      <c r="BG199" s="227"/>
      <c r="BH199" s="227"/>
      <c r="BI199" s="227"/>
      <c r="BJ199" s="227"/>
      <c r="BK199" s="227"/>
    </row>
    <row r="200" spans="1:63" x14ac:dyDescent="0.3">
      <c r="A200" s="210">
        <f t="shared" si="73"/>
        <v>1</v>
      </c>
      <c r="B200" s="210">
        <f t="shared" si="74"/>
        <v>1</v>
      </c>
      <c r="C200" s="210">
        <f t="shared" si="41"/>
        <v>1</v>
      </c>
      <c r="D200" s="210">
        <f t="shared" si="75"/>
        <v>1</v>
      </c>
      <c r="E200" s="210">
        <f t="shared" si="42"/>
        <v>1</v>
      </c>
      <c r="F200" s="297">
        <v>10</v>
      </c>
      <c r="G200" s="210">
        <f t="shared" si="76"/>
        <v>11</v>
      </c>
      <c r="I200" s="210">
        <v>10</v>
      </c>
      <c r="J200" s="295">
        <f t="shared" si="43"/>
        <v>-10554986.511584939</v>
      </c>
      <c r="K200" s="295">
        <f t="shared" si="77"/>
        <v>-963950.26976830128</v>
      </c>
      <c r="L200" s="295"/>
      <c r="M200" s="295">
        <f t="shared" si="44"/>
        <v>-820348.29987515544</v>
      </c>
      <c r="N200" s="295">
        <f t="shared" si="45"/>
        <v>-143560.95247815218</v>
      </c>
      <c r="O200" s="295">
        <f t="shared" si="46"/>
        <v>0</v>
      </c>
      <c r="P200" s="295">
        <f t="shared" si="47"/>
        <v>-41.017414993757768</v>
      </c>
      <c r="Q200" s="295"/>
      <c r="R200" s="295">
        <f t="shared" si="78"/>
        <v>0</v>
      </c>
      <c r="S200" s="295">
        <f t="shared" si="48"/>
        <v>-10230311.887449481</v>
      </c>
      <c r="T200" s="295">
        <f t="shared" si="49"/>
        <v>-913293.7622510104</v>
      </c>
      <c r="U200" s="295"/>
      <c r="V200" s="295">
        <f t="shared" si="50"/>
        <v>-811324.4685765286</v>
      </c>
      <c r="W200" s="295">
        <f t="shared" si="51"/>
        <v>-101928.27625948805</v>
      </c>
      <c r="X200" s="295">
        <f t="shared" si="52"/>
        <v>0</v>
      </c>
      <c r="Y200" s="295">
        <f t="shared" si="53"/>
        <v>-41.017414993757768</v>
      </c>
      <c r="Z200" s="295"/>
      <c r="AA200" s="295">
        <f t="shared" si="54"/>
        <v>0</v>
      </c>
      <c r="AB200" s="210">
        <f t="shared" si="55"/>
        <v>0.82034829987515534</v>
      </c>
      <c r="AC200" s="210">
        <f t="shared" si="56"/>
        <v>0.82034829987515534</v>
      </c>
      <c r="AD200" s="210">
        <f t="shared" si="57"/>
        <v>0.82034829987515534</v>
      </c>
      <c r="AE200" s="210">
        <f t="shared" si="58"/>
        <v>0.82034829987515534</v>
      </c>
      <c r="AF200" s="227">
        <f t="shared" si="59"/>
        <v>0.05</v>
      </c>
      <c r="AG200" s="227">
        <f>ROUNDDOWN(SUM(AF$191:AF200)-SUM(AG$191:AG199),0)*$A200</f>
        <v>0</v>
      </c>
      <c r="AH200" s="227">
        <f t="shared" si="60"/>
        <v>0</v>
      </c>
      <c r="AI200" s="210">
        <f t="shared" si="61"/>
        <v>0.82034829987515534</v>
      </c>
      <c r="AJ200" s="210">
        <f t="shared" si="62"/>
        <v>0.82034829987515534</v>
      </c>
      <c r="AK200" s="210">
        <f t="shared" si="63"/>
        <v>0.82034829987515534</v>
      </c>
      <c r="AL200" s="210">
        <f t="shared" si="64"/>
        <v>0.82034829987515534</v>
      </c>
      <c r="AM200" s="210">
        <f t="shared" si="65"/>
        <v>0.05</v>
      </c>
      <c r="AN200" s="227">
        <f>ROUNDDOWN(SUM(AM$191:AM200)-SUM(AN$191:AN199),0)*$A200</f>
        <v>0</v>
      </c>
      <c r="AO200" s="227">
        <f t="shared" si="66"/>
        <v>0</v>
      </c>
      <c r="AP200" s="210">
        <f t="shared" ref="AP200:AP263" si="84">AV200/$AU200</f>
        <v>0.82034829987515534</v>
      </c>
      <c r="AQ200" s="210">
        <f t="shared" ref="AQ200:AQ263" si="85">AW200/$AU200</f>
        <v>0.82034829987515534</v>
      </c>
      <c r="AR200" s="210">
        <f t="shared" ref="AR200:AR263" si="86">AX200/$AU200</f>
        <v>0.82034829987515534</v>
      </c>
      <c r="AS200" s="210">
        <f t="shared" ref="AS200:AS231" si="87">AY200/$AU200</f>
        <v>0.82034829987515534</v>
      </c>
      <c r="AT200" s="210">
        <f t="shared" ref="AT200:AT231" si="88">AZ200/$AU200</f>
        <v>0.82034829987515534</v>
      </c>
      <c r="AU200" s="227">
        <f t="shared" si="72"/>
        <v>1.2189944199947571</v>
      </c>
      <c r="AV200" s="227">
        <f t="shared" si="79"/>
        <v>1</v>
      </c>
      <c r="AW200" s="227">
        <f t="shared" si="80"/>
        <v>1</v>
      </c>
      <c r="AX200" s="227">
        <f t="shared" si="81"/>
        <v>1</v>
      </c>
      <c r="AY200" s="227">
        <f t="shared" si="82"/>
        <v>1</v>
      </c>
      <c r="AZ200" s="227">
        <f t="shared" si="83"/>
        <v>1</v>
      </c>
      <c r="BB200" s="227"/>
      <c r="BC200" s="227"/>
      <c r="BD200" s="227"/>
      <c r="BE200" s="227"/>
      <c r="BF200" s="227"/>
      <c r="BG200" s="227"/>
      <c r="BH200" s="227"/>
      <c r="BI200" s="227"/>
      <c r="BJ200" s="227"/>
      <c r="BK200" s="227"/>
    </row>
    <row r="201" spans="1:63" x14ac:dyDescent="0.3">
      <c r="A201" s="210">
        <f t="shared" si="73"/>
        <v>0</v>
      </c>
      <c r="B201" s="210">
        <f t="shared" si="74"/>
        <v>1</v>
      </c>
      <c r="C201" s="210">
        <f t="shared" si="41"/>
        <v>0</v>
      </c>
      <c r="D201" s="210">
        <f t="shared" si="75"/>
        <v>1</v>
      </c>
      <c r="E201" s="210">
        <f t="shared" si="42"/>
        <v>0</v>
      </c>
      <c r="F201" s="297">
        <v>11</v>
      </c>
      <c r="G201" s="210">
        <f t="shared" si="76"/>
        <v>12</v>
      </c>
      <c r="I201" s="210">
        <v>11</v>
      </c>
      <c r="J201" s="295">
        <f t="shared" si="43"/>
        <v>0</v>
      </c>
      <c r="K201" s="295">
        <f t="shared" si="77"/>
        <v>0</v>
      </c>
      <c r="L201" s="295"/>
      <c r="M201" s="295">
        <f t="shared" si="44"/>
        <v>0</v>
      </c>
      <c r="N201" s="295">
        <f t="shared" si="45"/>
        <v>0</v>
      </c>
      <c r="O201" s="295">
        <f t="shared" si="46"/>
        <v>0</v>
      </c>
      <c r="P201" s="295">
        <f t="shared" si="47"/>
        <v>0</v>
      </c>
      <c r="Q201" s="295"/>
      <c r="R201" s="295">
        <f t="shared" si="78"/>
        <v>0</v>
      </c>
      <c r="S201" s="295">
        <f t="shared" si="48"/>
        <v>0</v>
      </c>
      <c r="T201" s="295">
        <f t="shared" si="49"/>
        <v>0</v>
      </c>
      <c r="U201" s="295"/>
      <c r="V201" s="295">
        <f t="shared" si="50"/>
        <v>0</v>
      </c>
      <c r="W201" s="295">
        <f t="shared" si="51"/>
        <v>0</v>
      </c>
      <c r="X201" s="295">
        <f t="shared" si="52"/>
        <v>0</v>
      </c>
      <c r="Y201" s="295">
        <f t="shared" si="53"/>
        <v>0</v>
      </c>
      <c r="Z201" s="295"/>
      <c r="AA201" s="295">
        <f t="shared" si="54"/>
        <v>0</v>
      </c>
      <c r="AB201" s="210">
        <f t="shared" si="55"/>
        <v>0</v>
      </c>
      <c r="AC201" s="210">
        <f t="shared" si="56"/>
        <v>0</v>
      </c>
      <c r="AD201" s="210">
        <f t="shared" si="57"/>
        <v>0</v>
      </c>
      <c r="AE201" s="210">
        <f t="shared" si="58"/>
        <v>0</v>
      </c>
      <c r="AF201" s="227">
        <f t="shared" si="59"/>
        <v>0.05</v>
      </c>
      <c r="AG201" s="227">
        <f>ROUNDDOWN(SUM(AF$191:AF201)-SUM(AG$191:AG200),0)*$A201</f>
        <v>0</v>
      </c>
      <c r="AH201" s="227">
        <f t="shared" si="60"/>
        <v>0</v>
      </c>
      <c r="AI201" s="210">
        <f t="shared" si="61"/>
        <v>0</v>
      </c>
      <c r="AJ201" s="210">
        <f t="shared" si="62"/>
        <v>0</v>
      </c>
      <c r="AK201" s="210">
        <f t="shared" si="63"/>
        <v>0</v>
      </c>
      <c r="AL201" s="210">
        <f t="shared" si="64"/>
        <v>0</v>
      </c>
      <c r="AM201" s="210">
        <f t="shared" si="65"/>
        <v>0.05</v>
      </c>
      <c r="AN201" s="227">
        <f>ROUNDDOWN(SUM(AM$191:AM201)-SUM(AN$191:AN200),0)*$A201</f>
        <v>0</v>
      </c>
      <c r="AO201" s="227">
        <f t="shared" si="66"/>
        <v>0</v>
      </c>
      <c r="AP201" s="210">
        <f t="shared" si="84"/>
        <v>0.80426303909328967</v>
      </c>
      <c r="AQ201" s="210">
        <f t="shared" si="85"/>
        <v>0.80426303909328967</v>
      </c>
      <c r="AR201" s="210">
        <f t="shared" si="86"/>
        <v>0.80426303909328967</v>
      </c>
      <c r="AS201" s="210">
        <f t="shared" si="87"/>
        <v>0.80426303909328967</v>
      </c>
      <c r="AT201" s="210">
        <f t="shared" si="88"/>
        <v>0.80426303909328967</v>
      </c>
      <c r="AU201" s="227">
        <f t="shared" si="72"/>
        <v>1.243374308394652</v>
      </c>
      <c r="AV201" s="227">
        <f t="shared" si="79"/>
        <v>1</v>
      </c>
      <c r="AW201" s="227">
        <f t="shared" si="80"/>
        <v>1</v>
      </c>
      <c r="AX201" s="227">
        <f t="shared" si="81"/>
        <v>1</v>
      </c>
      <c r="AY201" s="227">
        <f t="shared" si="82"/>
        <v>1</v>
      </c>
      <c r="AZ201" s="227">
        <f t="shared" si="83"/>
        <v>1</v>
      </c>
      <c r="BB201" s="227"/>
      <c r="BC201" s="227"/>
      <c r="BD201" s="227"/>
      <c r="BE201" s="227"/>
      <c r="BF201" s="227"/>
      <c r="BG201" s="227"/>
      <c r="BH201" s="227"/>
      <c r="BI201" s="227"/>
      <c r="BJ201" s="227"/>
      <c r="BK201" s="227"/>
    </row>
    <row r="202" spans="1:63" x14ac:dyDescent="0.3">
      <c r="A202" s="210">
        <f t="shared" si="73"/>
        <v>0</v>
      </c>
      <c r="B202" s="210">
        <f t="shared" si="74"/>
        <v>1</v>
      </c>
      <c r="C202" s="210">
        <f t="shared" si="41"/>
        <v>0</v>
      </c>
      <c r="D202" s="210">
        <f t="shared" si="75"/>
        <v>1</v>
      </c>
      <c r="E202" s="210">
        <f t="shared" si="42"/>
        <v>0</v>
      </c>
      <c r="F202" s="297">
        <v>12</v>
      </c>
      <c r="G202" s="210">
        <f t="shared" si="76"/>
        <v>13</v>
      </c>
      <c r="I202" s="210">
        <v>12</v>
      </c>
      <c r="J202" s="295">
        <f t="shared" si="43"/>
        <v>0</v>
      </c>
      <c r="K202" s="295">
        <f t="shared" si="77"/>
        <v>0</v>
      </c>
      <c r="L202" s="295"/>
      <c r="M202" s="295">
        <f t="shared" si="44"/>
        <v>0</v>
      </c>
      <c r="N202" s="295">
        <f t="shared" si="45"/>
        <v>0</v>
      </c>
      <c r="O202" s="295">
        <f t="shared" si="46"/>
        <v>0</v>
      </c>
      <c r="P202" s="295">
        <f t="shared" si="47"/>
        <v>0</v>
      </c>
      <c r="Q202" s="295"/>
      <c r="R202" s="295">
        <f t="shared" si="78"/>
        <v>0</v>
      </c>
      <c r="S202" s="295">
        <f t="shared" si="48"/>
        <v>0</v>
      </c>
      <c r="T202" s="295">
        <f t="shared" si="49"/>
        <v>0</v>
      </c>
      <c r="U202" s="295"/>
      <c r="V202" s="295">
        <f t="shared" si="50"/>
        <v>0</v>
      </c>
      <c r="W202" s="295">
        <f t="shared" si="51"/>
        <v>0</v>
      </c>
      <c r="X202" s="295">
        <f t="shared" si="52"/>
        <v>0</v>
      </c>
      <c r="Y202" s="295">
        <f t="shared" si="53"/>
        <v>0</v>
      </c>
      <c r="Z202" s="295"/>
      <c r="AA202" s="295">
        <f t="shared" si="54"/>
        <v>0</v>
      </c>
      <c r="AB202" s="210">
        <f t="shared" si="55"/>
        <v>0</v>
      </c>
      <c r="AC202" s="210">
        <f t="shared" si="56"/>
        <v>0</v>
      </c>
      <c r="AD202" s="210">
        <f t="shared" si="57"/>
        <v>0</v>
      </c>
      <c r="AE202" s="210">
        <f t="shared" si="58"/>
        <v>0</v>
      </c>
      <c r="AF202" s="227">
        <f t="shared" si="59"/>
        <v>0.05</v>
      </c>
      <c r="AG202" s="227">
        <f>ROUNDDOWN(SUM(AF$191:AF202)-SUM(AG$191:AG201),0)*$A202</f>
        <v>0</v>
      </c>
      <c r="AH202" s="227">
        <f t="shared" si="60"/>
        <v>0</v>
      </c>
      <c r="AI202" s="210">
        <f t="shared" si="61"/>
        <v>0</v>
      </c>
      <c r="AJ202" s="210">
        <f t="shared" si="62"/>
        <v>0</v>
      </c>
      <c r="AK202" s="210">
        <f t="shared" si="63"/>
        <v>0</v>
      </c>
      <c r="AL202" s="210">
        <f t="shared" si="64"/>
        <v>0</v>
      </c>
      <c r="AM202" s="210">
        <f t="shared" si="65"/>
        <v>0.05</v>
      </c>
      <c r="AN202" s="227">
        <f>ROUNDDOWN(SUM(AM$191:AM202)-SUM(AN$191:AN201),0)*$A202</f>
        <v>0</v>
      </c>
      <c r="AO202" s="227">
        <f t="shared" si="66"/>
        <v>0</v>
      </c>
      <c r="AP202" s="210">
        <f t="shared" si="84"/>
        <v>0.78849317558165644</v>
      </c>
      <c r="AQ202" s="210">
        <f t="shared" si="85"/>
        <v>0.78849317558165644</v>
      </c>
      <c r="AR202" s="210">
        <f t="shared" si="86"/>
        <v>0.78849317558165644</v>
      </c>
      <c r="AS202" s="210">
        <f t="shared" si="87"/>
        <v>0.78849317558165644</v>
      </c>
      <c r="AT202" s="210">
        <f t="shared" si="88"/>
        <v>0.78849317558165644</v>
      </c>
      <c r="AU202" s="227">
        <f t="shared" si="72"/>
        <v>1.2682417945625453</v>
      </c>
      <c r="AV202" s="227">
        <f t="shared" si="79"/>
        <v>1</v>
      </c>
      <c r="AW202" s="227">
        <f t="shared" si="80"/>
        <v>1</v>
      </c>
      <c r="AX202" s="227">
        <f t="shared" si="81"/>
        <v>1</v>
      </c>
      <c r="AY202" s="227">
        <f t="shared" si="82"/>
        <v>1</v>
      </c>
      <c r="AZ202" s="227">
        <f t="shared" si="83"/>
        <v>1</v>
      </c>
      <c r="BB202" s="227"/>
      <c r="BC202" s="227"/>
      <c r="BD202" s="227"/>
      <c r="BE202" s="227"/>
      <c r="BF202" s="227"/>
      <c r="BG202" s="227"/>
      <c r="BH202" s="227"/>
      <c r="BI202" s="227"/>
      <c r="BJ202" s="227"/>
      <c r="BK202" s="227"/>
    </row>
    <row r="203" spans="1:63" x14ac:dyDescent="0.3">
      <c r="A203" s="210">
        <f t="shared" si="73"/>
        <v>0</v>
      </c>
      <c r="B203" s="210">
        <f t="shared" si="74"/>
        <v>1</v>
      </c>
      <c r="C203" s="210">
        <f t="shared" si="41"/>
        <v>0</v>
      </c>
      <c r="D203" s="210">
        <f t="shared" si="75"/>
        <v>1</v>
      </c>
      <c r="E203" s="210">
        <f t="shared" si="42"/>
        <v>0</v>
      </c>
      <c r="F203" s="297">
        <v>13</v>
      </c>
      <c r="G203" s="210">
        <f t="shared" si="76"/>
        <v>14</v>
      </c>
      <c r="I203" s="210">
        <v>13</v>
      </c>
      <c r="J203" s="295">
        <f t="shared" si="43"/>
        <v>0</v>
      </c>
      <c r="K203" s="295">
        <f t="shared" si="77"/>
        <v>0</v>
      </c>
      <c r="L203" s="295"/>
      <c r="M203" s="295">
        <f t="shared" si="44"/>
        <v>0</v>
      </c>
      <c r="N203" s="295">
        <f t="shared" si="45"/>
        <v>0</v>
      </c>
      <c r="O203" s="295">
        <f t="shared" si="46"/>
        <v>0</v>
      </c>
      <c r="P203" s="295">
        <f t="shared" si="47"/>
        <v>0</v>
      </c>
      <c r="Q203" s="295"/>
      <c r="R203" s="295">
        <f t="shared" si="78"/>
        <v>0</v>
      </c>
      <c r="S203" s="295">
        <f t="shared" si="48"/>
        <v>0</v>
      </c>
      <c r="T203" s="295">
        <f t="shared" si="49"/>
        <v>0</v>
      </c>
      <c r="U203" s="295"/>
      <c r="V203" s="295">
        <f t="shared" si="50"/>
        <v>0</v>
      </c>
      <c r="W203" s="295">
        <f t="shared" si="51"/>
        <v>0</v>
      </c>
      <c r="X203" s="295">
        <f t="shared" si="52"/>
        <v>0</v>
      </c>
      <c r="Y203" s="295">
        <f t="shared" si="53"/>
        <v>0</v>
      </c>
      <c r="Z203" s="295"/>
      <c r="AA203" s="295">
        <f t="shared" si="54"/>
        <v>0</v>
      </c>
      <c r="AB203" s="210">
        <f t="shared" si="55"/>
        <v>0</v>
      </c>
      <c r="AC203" s="210">
        <f t="shared" si="56"/>
        <v>0</v>
      </c>
      <c r="AD203" s="210">
        <f t="shared" si="57"/>
        <v>0</v>
      </c>
      <c r="AE203" s="210">
        <f t="shared" si="58"/>
        <v>0</v>
      </c>
      <c r="AF203" s="227">
        <f t="shared" si="59"/>
        <v>0.05</v>
      </c>
      <c r="AG203" s="227">
        <f>ROUNDDOWN(SUM(AF$191:AF203)-SUM(AG$191:AG202),0)*$A203</f>
        <v>0</v>
      </c>
      <c r="AH203" s="227">
        <f t="shared" si="60"/>
        <v>0</v>
      </c>
      <c r="AI203" s="210">
        <f t="shared" si="61"/>
        <v>0</v>
      </c>
      <c r="AJ203" s="210">
        <f t="shared" si="62"/>
        <v>0</v>
      </c>
      <c r="AK203" s="210">
        <f t="shared" si="63"/>
        <v>0</v>
      </c>
      <c r="AL203" s="210">
        <f t="shared" si="64"/>
        <v>0</v>
      </c>
      <c r="AM203" s="210">
        <f t="shared" si="65"/>
        <v>0.05</v>
      </c>
      <c r="AN203" s="227">
        <f>ROUNDDOWN(SUM(AM$191:AM203)-SUM(AN$191:AN202),0)*$A203</f>
        <v>0</v>
      </c>
      <c r="AO203" s="227">
        <f t="shared" si="66"/>
        <v>0</v>
      </c>
      <c r="AP203" s="210">
        <f t="shared" si="84"/>
        <v>0.77303252508005538</v>
      </c>
      <c r="AQ203" s="210">
        <f t="shared" si="85"/>
        <v>0.77303252508005538</v>
      </c>
      <c r="AR203" s="210">
        <f t="shared" si="86"/>
        <v>0.77303252508005538</v>
      </c>
      <c r="AS203" s="210">
        <f t="shared" si="87"/>
        <v>0.77303252508005538</v>
      </c>
      <c r="AT203" s="210">
        <f t="shared" si="88"/>
        <v>0.77303252508005538</v>
      </c>
      <c r="AU203" s="227">
        <f t="shared" si="72"/>
        <v>1.2936066304537961</v>
      </c>
      <c r="AV203" s="227">
        <f t="shared" si="79"/>
        <v>1</v>
      </c>
      <c r="AW203" s="227">
        <f t="shared" si="80"/>
        <v>1</v>
      </c>
      <c r="AX203" s="227">
        <f t="shared" si="81"/>
        <v>1</v>
      </c>
      <c r="AY203" s="227">
        <f t="shared" si="82"/>
        <v>1</v>
      </c>
      <c r="AZ203" s="227">
        <f t="shared" si="83"/>
        <v>1</v>
      </c>
      <c r="BB203" s="227"/>
      <c r="BC203" s="227"/>
      <c r="BD203" s="227"/>
      <c r="BE203" s="227"/>
      <c r="BF203" s="227"/>
      <c r="BG203" s="227"/>
      <c r="BH203" s="227"/>
      <c r="BI203" s="227"/>
      <c r="BJ203" s="227"/>
      <c r="BK203" s="227"/>
    </row>
    <row r="204" spans="1:63" x14ac:dyDescent="0.3">
      <c r="A204" s="210">
        <f t="shared" si="73"/>
        <v>0</v>
      </c>
      <c r="B204" s="210">
        <f t="shared" si="74"/>
        <v>1</v>
      </c>
      <c r="C204" s="210">
        <f t="shared" si="41"/>
        <v>0</v>
      </c>
      <c r="D204" s="210">
        <f t="shared" si="75"/>
        <v>1</v>
      </c>
      <c r="E204" s="210">
        <f t="shared" si="42"/>
        <v>0</v>
      </c>
      <c r="F204" s="297">
        <v>14</v>
      </c>
      <c r="G204" s="210">
        <f t="shared" si="76"/>
        <v>15</v>
      </c>
      <c r="I204" s="210">
        <v>14</v>
      </c>
      <c r="J204" s="295">
        <f t="shared" si="43"/>
        <v>0</v>
      </c>
      <c r="K204" s="295">
        <f t="shared" si="77"/>
        <v>0</v>
      </c>
      <c r="L204" s="295"/>
      <c r="M204" s="295">
        <f t="shared" si="44"/>
        <v>0</v>
      </c>
      <c r="N204" s="295">
        <f t="shared" si="45"/>
        <v>0</v>
      </c>
      <c r="O204" s="295">
        <f t="shared" si="46"/>
        <v>0</v>
      </c>
      <c r="P204" s="295">
        <f t="shared" si="47"/>
        <v>0</v>
      </c>
      <c r="Q204" s="295"/>
      <c r="R204" s="295">
        <f t="shared" si="78"/>
        <v>0</v>
      </c>
      <c r="S204" s="295">
        <f t="shared" si="48"/>
        <v>0</v>
      </c>
      <c r="T204" s="295">
        <f t="shared" si="49"/>
        <v>0</v>
      </c>
      <c r="U204" s="295"/>
      <c r="V204" s="295">
        <f t="shared" si="50"/>
        <v>0</v>
      </c>
      <c r="W204" s="295">
        <f t="shared" si="51"/>
        <v>0</v>
      </c>
      <c r="X204" s="295">
        <f t="shared" si="52"/>
        <v>0</v>
      </c>
      <c r="Y204" s="295">
        <f t="shared" si="53"/>
        <v>0</v>
      </c>
      <c r="Z204" s="295"/>
      <c r="AA204" s="295">
        <f t="shared" si="54"/>
        <v>0</v>
      </c>
      <c r="AB204" s="210">
        <f t="shared" si="55"/>
        <v>0</v>
      </c>
      <c r="AC204" s="210">
        <f t="shared" si="56"/>
        <v>0</v>
      </c>
      <c r="AD204" s="210">
        <f t="shared" si="57"/>
        <v>0</v>
      </c>
      <c r="AE204" s="210">
        <f t="shared" si="58"/>
        <v>0</v>
      </c>
      <c r="AF204" s="227">
        <f t="shared" si="59"/>
        <v>0.05</v>
      </c>
      <c r="AG204" s="227">
        <f>ROUNDDOWN(SUM(AF$191:AF204)-SUM(AG$191:AG203),0)*$A204</f>
        <v>0</v>
      </c>
      <c r="AH204" s="227">
        <f t="shared" si="60"/>
        <v>0</v>
      </c>
      <c r="AI204" s="210">
        <f t="shared" si="61"/>
        <v>0</v>
      </c>
      <c r="AJ204" s="210">
        <f t="shared" si="62"/>
        <v>0</v>
      </c>
      <c r="AK204" s="210">
        <f t="shared" si="63"/>
        <v>0</v>
      </c>
      <c r="AL204" s="210">
        <f t="shared" si="64"/>
        <v>0</v>
      </c>
      <c r="AM204" s="210">
        <f t="shared" si="65"/>
        <v>0.05</v>
      </c>
      <c r="AN204" s="227">
        <f>ROUNDDOWN(SUM(AM$191:AM204)-SUM(AN$191:AN203),0)*$A204</f>
        <v>0</v>
      </c>
      <c r="AO204" s="227">
        <f t="shared" si="66"/>
        <v>0</v>
      </c>
      <c r="AP204" s="210">
        <f t="shared" si="84"/>
        <v>0.75787502458828948</v>
      </c>
      <c r="AQ204" s="210">
        <f t="shared" si="85"/>
        <v>0.75787502458828948</v>
      </c>
      <c r="AR204" s="210">
        <f t="shared" si="86"/>
        <v>0.75787502458828948</v>
      </c>
      <c r="AS204" s="210">
        <f t="shared" si="87"/>
        <v>0.75787502458828948</v>
      </c>
      <c r="AT204" s="210">
        <f t="shared" si="88"/>
        <v>0.75787502458828948</v>
      </c>
      <c r="AU204" s="227">
        <f t="shared" si="72"/>
        <v>1.3194787630628722</v>
      </c>
      <c r="AV204" s="227">
        <f t="shared" si="79"/>
        <v>1</v>
      </c>
      <c r="AW204" s="227">
        <f t="shared" si="80"/>
        <v>1</v>
      </c>
      <c r="AX204" s="227">
        <f t="shared" si="81"/>
        <v>1</v>
      </c>
      <c r="AY204" s="227">
        <f t="shared" si="82"/>
        <v>1</v>
      </c>
      <c r="AZ204" s="227">
        <f t="shared" si="83"/>
        <v>1</v>
      </c>
      <c r="BB204" s="227"/>
      <c r="BC204" s="227"/>
      <c r="BD204" s="227"/>
      <c r="BE204" s="227"/>
      <c r="BF204" s="227"/>
      <c r="BG204" s="227"/>
      <c r="BH204" s="227"/>
      <c r="BI204" s="227"/>
      <c r="BJ204" s="227"/>
      <c r="BK204" s="227"/>
    </row>
    <row r="205" spans="1:63" x14ac:dyDescent="0.3">
      <c r="A205" s="210">
        <f t="shared" si="73"/>
        <v>0</v>
      </c>
      <c r="B205" s="210">
        <f t="shared" si="74"/>
        <v>1</v>
      </c>
      <c r="C205" s="210">
        <f t="shared" si="41"/>
        <v>0</v>
      </c>
      <c r="D205" s="210">
        <f t="shared" si="75"/>
        <v>1</v>
      </c>
      <c r="E205" s="210">
        <f t="shared" si="42"/>
        <v>0</v>
      </c>
      <c r="F205" s="297">
        <v>15</v>
      </c>
      <c r="G205" s="210">
        <f t="shared" si="76"/>
        <v>16</v>
      </c>
      <c r="I205" s="210">
        <v>15</v>
      </c>
      <c r="J205" s="295">
        <f t="shared" si="43"/>
        <v>0</v>
      </c>
      <c r="K205" s="295">
        <f t="shared" si="77"/>
        <v>0</v>
      </c>
      <c r="L205" s="295"/>
      <c r="M205" s="295">
        <f t="shared" si="44"/>
        <v>0</v>
      </c>
      <c r="N205" s="295">
        <f t="shared" si="45"/>
        <v>0</v>
      </c>
      <c r="O205" s="295">
        <f t="shared" si="46"/>
        <v>0</v>
      </c>
      <c r="P205" s="295">
        <f t="shared" si="47"/>
        <v>0</v>
      </c>
      <c r="Q205" s="295"/>
      <c r="R205" s="295">
        <f t="shared" si="78"/>
        <v>0</v>
      </c>
      <c r="S205" s="295">
        <f t="shared" si="48"/>
        <v>0</v>
      </c>
      <c r="T205" s="295">
        <f t="shared" si="49"/>
        <v>0</v>
      </c>
      <c r="U205" s="295"/>
      <c r="V205" s="295">
        <f t="shared" si="50"/>
        <v>0</v>
      </c>
      <c r="W205" s="295">
        <f t="shared" si="51"/>
        <v>0</v>
      </c>
      <c r="X205" s="295">
        <f t="shared" si="52"/>
        <v>0</v>
      </c>
      <c r="Y205" s="295">
        <f t="shared" si="53"/>
        <v>0</v>
      </c>
      <c r="Z205" s="295"/>
      <c r="AA205" s="295">
        <f t="shared" si="54"/>
        <v>0</v>
      </c>
      <c r="AB205" s="210">
        <f t="shared" si="55"/>
        <v>0</v>
      </c>
      <c r="AC205" s="210">
        <f t="shared" si="56"/>
        <v>0</v>
      </c>
      <c r="AD205" s="210">
        <f t="shared" si="57"/>
        <v>0</v>
      </c>
      <c r="AE205" s="210">
        <f t="shared" si="58"/>
        <v>0</v>
      </c>
      <c r="AF205" s="227">
        <f t="shared" si="59"/>
        <v>0.05</v>
      </c>
      <c r="AG205" s="227">
        <f>ROUNDDOWN(SUM(AF$191:AF205)-SUM(AG$191:AG204),0)*$A205</f>
        <v>0</v>
      </c>
      <c r="AH205" s="227">
        <f t="shared" si="60"/>
        <v>0</v>
      </c>
      <c r="AI205" s="210">
        <f t="shared" si="61"/>
        <v>0</v>
      </c>
      <c r="AJ205" s="210">
        <f t="shared" si="62"/>
        <v>0</v>
      </c>
      <c r="AK205" s="210">
        <f t="shared" si="63"/>
        <v>0</v>
      </c>
      <c r="AL205" s="210">
        <f t="shared" si="64"/>
        <v>0</v>
      </c>
      <c r="AM205" s="210">
        <f t="shared" si="65"/>
        <v>0.05</v>
      </c>
      <c r="AN205" s="227">
        <f>ROUNDDOWN(SUM(AM$191:AM205)-SUM(AN$191:AN204),0)*$A205</f>
        <v>0</v>
      </c>
      <c r="AO205" s="227">
        <f t="shared" si="66"/>
        <v>0</v>
      </c>
      <c r="AP205" s="210">
        <f t="shared" si="84"/>
        <v>0.74301472998851925</v>
      </c>
      <c r="AQ205" s="210">
        <f t="shared" si="85"/>
        <v>0.74301472998851925</v>
      </c>
      <c r="AR205" s="210">
        <f t="shared" si="86"/>
        <v>0.74301472998851925</v>
      </c>
      <c r="AS205" s="210">
        <f t="shared" si="87"/>
        <v>0.74301472998851925</v>
      </c>
      <c r="AT205" s="210">
        <f t="shared" si="88"/>
        <v>0.74301472998851925</v>
      </c>
      <c r="AU205" s="227">
        <f t="shared" si="72"/>
        <v>1.3458683383241292</v>
      </c>
      <c r="AV205" s="227">
        <f t="shared" si="79"/>
        <v>1</v>
      </c>
      <c r="AW205" s="227">
        <f t="shared" si="80"/>
        <v>1</v>
      </c>
      <c r="AX205" s="227">
        <f t="shared" si="81"/>
        <v>1</v>
      </c>
      <c r="AY205" s="227">
        <f t="shared" si="82"/>
        <v>1</v>
      </c>
      <c r="AZ205" s="227">
        <f t="shared" si="83"/>
        <v>1</v>
      </c>
      <c r="BB205" s="227"/>
      <c r="BC205" s="227"/>
      <c r="BD205" s="227"/>
      <c r="BE205" s="227"/>
      <c r="BF205" s="227"/>
      <c r="BG205" s="227"/>
      <c r="BH205" s="227"/>
      <c r="BI205" s="227"/>
      <c r="BJ205" s="227"/>
      <c r="BK205" s="227"/>
    </row>
    <row r="206" spans="1:63" x14ac:dyDescent="0.3">
      <c r="A206" s="210">
        <f t="shared" si="73"/>
        <v>0</v>
      </c>
      <c r="B206" s="210">
        <f t="shared" si="74"/>
        <v>1</v>
      </c>
      <c r="C206" s="210">
        <f t="shared" si="41"/>
        <v>0</v>
      </c>
      <c r="D206" s="210">
        <f t="shared" si="75"/>
        <v>1</v>
      </c>
      <c r="E206" s="210">
        <f t="shared" si="42"/>
        <v>0</v>
      </c>
      <c r="F206" s="297">
        <v>16</v>
      </c>
      <c r="G206" s="210">
        <f t="shared" si="76"/>
        <v>17</v>
      </c>
      <c r="I206" s="210">
        <v>16</v>
      </c>
      <c r="J206" s="295">
        <f t="shared" si="43"/>
        <v>0</v>
      </c>
      <c r="K206" s="295">
        <f t="shared" si="77"/>
        <v>0</v>
      </c>
      <c r="L206" s="295"/>
      <c r="M206" s="295">
        <f t="shared" si="44"/>
        <v>0</v>
      </c>
      <c r="N206" s="295">
        <f t="shared" si="45"/>
        <v>0</v>
      </c>
      <c r="O206" s="295">
        <f t="shared" si="46"/>
        <v>0</v>
      </c>
      <c r="P206" s="295">
        <f t="shared" si="47"/>
        <v>0</v>
      </c>
      <c r="Q206" s="295"/>
      <c r="R206" s="295">
        <f t="shared" si="78"/>
        <v>0</v>
      </c>
      <c r="S206" s="295">
        <f t="shared" si="48"/>
        <v>0</v>
      </c>
      <c r="T206" s="295">
        <f t="shared" si="49"/>
        <v>0</v>
      </c>
      <c r="U206" s="295"/>
      <c r="V206" s="295">
        <f t="shared" si="50"/>
        <v>0</v>
      </c>
      <c r="W206" s="295">
        <f t="shared" si="51"/>
        <v>0</v>
      </c>
      <c r="X206" s="295">
        <f t="shared" si="52"/>
        <v>0</v>
      </c>
      <c r="Y206" s="295">
        <f t="shared" si="53"/>
        <v>0</v>
      </c>
      <c r="Z206" s="295"/>
      <c r="AA206" s="295">
        <f t="shared" si="54"/>
        <v>0</v>
      </c>
      <c r="AB206" s="210">
        <f t="shared" si="55"/>
        <v>0</v>
      </c>
      <c r="AC206" s="210">
        <f t="shared" si="56"/>
        <v>0</v>
      </c>
      <c r="AD206" s="210">
        <f t="shared" si="57"/>
        <v>0</v>
      </c>
      <c r="AE206" s="210">
        <f t="shared" si="58"/>
        <v>0</v>
      </c>
      <c r="AF206" s="227">
        <f t="shared" si="59"/>
        <v>0.05</v>
      </c>
      <c r="AG206" s="227">
        <f>ROUNDDOWN(SUM(AF$191:AF206)-SUM(AG$191:AG205),0)*$A206</f>
        <v>0</v>
      </c>
      <c r="AH206" s="227">
        <f t="shared" si="60"/>
        <v>0</v>
      </c>
      <c r="AI206" s="210">
        <f t="shared" si="61"/>
        <v>0</v>
      </c>
      <c r="AJ206" s="210">
        <f t="shared" si="62"/>
        <v>0</v>
      </c>
      <c r="AK206" s="210">
        <f t="shared" si="63"/>
        <v>0</v>
      </c>
      <c r="AL206" s="210">
        <f t="shared" si="64"/>
        <v>0</v>
      </c>
      <c r="AM206" s="210">
        <f t="shared" si="65"/>
        <v>0.05</v>
      </c>
      <c r="AN206" s="227">
        <f>ROUNDDOWN(SUM(AM$191:AM206)-SUM(AN$191:AN205),0)*$A206</f>
        <v>0</v>
      </c>
      <c r="AO206" s="227">
        <f t="shared" si="66"/>
        <v>0</v>
      </c>
      <c r="AP206" s="210">
        <f t="shared" si="84"/>
        <v>0.72844581371423445</v>
      </c>
      <c r="AQ206" s="210">
        <f t="shared" si="85"/>
        <v>0.72844581371423445</v>
      </c>
      <c r="AR206" s="210">
        <f t="shared" si="86"/>
        <v>0.72844581371423445</v>
      </c>
      <c r="AS206" s="210">
        <f t="shared" si="87"/>
        <v>0.72844581371423445</v>
      </c>
      <c r="AT206" s="210">
        <f t="shared" si="88"/>
        <v>0.72844581371423445</v>
      </c>
      <c r="AU206" s="227">
        <f t="shared" si="72"/>
        <v>1.372785705090612</v>
      </c>
      <c r="AV206" s="227">
        <f t="shared" si="79"/>
        <v>1</v>
      </c>
      <c r="AW206" s="227">
        <f t="shared" si="80"/>
        <v>1</v>
      </c>
      <c r="AX206" s="227">
        <f t="shared" si="81"/>
        <v>1</v>
      </c>
      <c r="AY206" s="227">
        <f t="shared" si="82"/>
        <v>1</v>
      </c>
      <c r="AZ206" s="227">
        <f t="shared" si="83"/>
        <v>1</v>
      </c>
      <c r="BB206" s="227"/>
      <c r="BC206" s="227"/>
      <c r="BD206" s="227"/>
      <c r="BE206" s="227"/>
      <c r="BF206" s="227"/>
      <c r="BG206" s="227"/>
      <c r="BH206" s="227"/>
      <c r="BI206" s="227"/>
      <c r="BJ206" s="227"/>
      <c r="BK206" s="227"/>
    </row>
    <row r="207" spans="1:63" x14ac:dyDescent="0.3">
      <c r="A207" s="210">
        <f t="shared" si="73"/>
        <v>0</v>
      </c>
      <c r="B207" s="210">
        <f t="shared" si="74"/>
        <v>1</v>
      </c>
      <c r="C207" s="210">
        <f t="shared" si="41"/>
        <v>0</v>
      </c>
      <c r="D207" s="210">
        <f t="shared" si="75"/>
        <v>1</v>
      </c>
      <c r="E207" s="210">
        <f t="shared" si="42"/>
        <v>0</v>
      </c>
      <c r="F207" s="297">
        <v>17</v>
      </c>
      <c r="G207" s="210">
        <f t="shared" si="76"/>
        <v>18</v>
      </c>
      <c r="I207" s="210">
        <v>17</v>
      </c>
      <c r="J207" s="295">
        <f t="shared" si="43"/>
        <v>0</v>
      </c>
      <c r="K207" s="295">
        <f t="shared" si="77"/>
        <v>0</v>
      </c>
      <c r="L207" s="295"/>
      <c r="M207" s="295">
        <f t="shared" si="44"/>
        <v>0</v>
      </c>
      <c r="N207" s="295">
        <f t="shared" si="45"/>
        <v>0</v>
      </c>
      <c r="O207" s="295">
        <f t="shared" si="46"/>
        <v>0</v>
      </c>
      <c r="P207" s="295">
        <f t="shared" si="47"/>
        <v>0</v>
      </c>
      <c r="Q207" s="295"/>
      <c r="R207" s="295">
        <f t="shared" si="78"/>
        <v>0</v>
      </c>
      <c r="S207" s="295">
        <f t="shared" si="48"/>
        <v>0</v>
      </c>
      <c r="T207" s="295">
        <f t="shared" si="49"/>
        <v>0</v>
      </c>
      <c r="U207" s="295"/>
      <c r="V207" s="295">
        <f t="shared" si="50"/>
        <v>0</v>
      </c>
      <c r="W207" s="295">
        <f t="shared" si="51"/>
        <v>0</v>
      </c>
      <c r="X207" s="295">
        <f t="shared" si="52"/>
        <v>0</v>
      </c>
      <c r="Y207" s="295">
        <f t="shared" si="53"/>
        <v>0</v>
      </c>
      <c r="Z207" s="295"/>
      <c r="AA207" s="295">
        <f t="shared" si="54"/>
        <v>0</v>
      </c>
      <c r="AB207" s="210">
        <f t="shared" si="55"/>
        <v>0</v>
      </c>
      <c r="AC207" s="210">
        <f t="shared" si="56"/>
        <v>0</v>
      </c>
      <c r="AD207" s="210">
        <f t="shared" si="57"/>
        <v>0</v>
      </c>
      <c r="AE207" s="210">
        <f t="shared" si="58"/>
        <v>0</v>
      </c>
      <c r="AF207" s="227">
        <f t="shared" si="59"/>
        <v>0.05</v>
      </c>
      <c r="AG207" s="227">
        <f>ROUNDDOWN(SUM(AF$191:AF207)-SUM(AG$191:AG206),0)*$A207</f>
        <v>0</v>
      </c>
      <c r="AH207" s="227">
        <f t="shared" si="60"/>
        <v>0</v>
      </c>
      <c r="AI207" s="210">
        <f t="shared" si="61"/>
        <v>0</v>
      </c>
      <c r="AJ207" s="210">
        <f t="shared" si="62"/>
        <v>0</v>
      </c>
      <c r="AK207" s="210">
        <f t="shared" si="63"/>
        <v>0</v>
      </c>
      <c r="AL207" s="210">
        <f t="shared" si="64"/>
        <v>0</v>
      </c>
      <c r="AM207" s="210">
        <f t="shared" si="65"/>
        <v>0.05</v>
      </c>
      <c r="AN207" s="227">
        <f>ROUNDDOWN(SUM(AM$191:AM207)-SUM(AN$191:AN206),0)*$A207</f>
        <v>0</v>
      </c>
      <c r="AO207" s="227">
        <f t="shared" si="66"/>
        <v>0</v>
      </c>
      <c r="AP207" s="210">
        <f t="shared" si="84"/>
        <v>0.7141625624649357</v>
      </c>
      <c r="AQ207" s="210">
        <f t="shared" si="85"/>
        <v>0.7141625624649357</v>
      </c>
      <c r="AR207" s="210">
        <f t="shared" si="86"/>
        <v>0.7141625624649357</v>
      </c>
      <c r="AS207" s="210">
        <f t="shared" si="87"/>
        <v>0.7141625624649357</v>
      </c>
      <c r="AT207" s="210">
        <f t="shared" si="88"/>
        <v>0.7141625624649357</v>
      </c>
      <c r="AU207" s="227">
        <f t="shared" si="72"/>
        <v>1.4002414191924244</v>
      </c>
      <c r="AV207" s="227">
        <f t="shared" si="79"/>
        <v>1</v>
      </c>
      <c r="AW207" s="227">
        <f t="shared" si="80"/>
        <v>1</v>
      </c>
      <c r="AX207" s="227">
        <f t="shared" si="81"/>
        <v>1</v>
      </c>
      <c r="AY207" s="227">
        <f t="shared" si="82"/>
        <v>1</v>
      </c>
      <c r="AZ207" s="227">
        <f t="shared" si="83"/>
        <v>1</v>
      </c>
      <c r="BB207" s="227"/>
      <c r="BC207" s="227"/>
      <c r="BD207" s="227"/>
      <c r="BE207" s="227"/>
      <c r="BF207" s="227"/>
      <c r="BG207" s="227"/>
      <c r="BH207" s="227"/>
      <c r="BI207" s="227"/>
      <c r="BJ207" s="227"/>
      <c r="BK207" s="227"/>
    </row>
    <row r="208" spans="1:63" x14ac:dyDescent="0.3">
      <c r="A208" s="210">
        <f t="shared" si="73"/>
        <v>0</v>
      </c>
      <c r="B208" s="210">
        <f t="shared" si="74"/>
        <v>1</v>
      </c>
      <c r="C208" s="210">
        <f t="shared" si="41"/>
        <v>0</v>
      </c>
      <c r="D208" s="210">
        <f t="shared" si="75"/>
        <v>1</v>
      </c>
      <c r="E208" s="210">
        <f t="shared" si="42"/>
        <v>0</v>
      </c>
      <c r="F208" s="297">
        <v>18</v>
      </c>
      <c r="G208" s="210">
        <f t="shared" si="76"/>
        <v>19</v>
      </c>
      <c r="I208" s="210">
        <v>18</v>
      </c>
      <c r="J208" s="295">
        <f t="shared" si="43"/>
        <v>0</v>
      </c>
      <c r="K208" s="295">
        <f t="shared" si="77"/>
        <v>0</v>
      </c>
      <c r="L208" s="295"/>
      <c r="M208" s="295">
        <f t="shared" si="44"/>
        <v>0</v>
      </c>
      <c r="N208" s="295">
        <f t="shared" si="45"/>
        <v>0</v>
      </c>
      <c r="O208" s="295">
        <f t="shared" si="46"/>
        <v>0</v>
      </c>
      <c r="P208" s="295">
        <f t="shared" si="47"/>
        <v>0</v>
      </c>
      <c r="Q208" s="295"/>
      <c r="R208" s="295">
        <f t="shared" si="78"/>
        <v>0</v>
      </c>
      <c r="S208" s="295">
        <f t="shared" si="48"/>
        <v>0</v>
      </c>
      <c r="T208" s="295">
        <f t="shared" si="49"/>
        <v>0</v>
      </c>
      <c r="U208" s="295"/>
      <c r="V208" s="295">
        <f t="shared" si="50"/>
        <v>0</v>
      </c>
      <c r="W208" s="295">
        <f t="shared" si="51"/>
        <v>0</v>
      </c>
      <c r="X208" s="295">
        <f t="shared" si="52"/>
        <v>0</v>
      </c>
      <c r="Y208" s="295">
        <f t="shared" si="53"/>
        <v>0</v>
      </c>
      <c r="Z208" s="295"/>
      <c r="AA208" s="295">
        <f t="shared" si="54"/>
        <v>0</v>
      </c>
      <c r="AB208" s="210">
        <f t="shared" si="55"/>
        <v>0</v>
      </c>
      <c r="AC208" s="210">
        <f t="shared" si="56"/>
        <v>0</v>
      </c>
      <c r="AD208" s="210">
        <f t="shared" si="57"/>
        <v>0</v>
      </c>
      <c r="AE208" s="210">
        <f t="shared" si="58"/>
        <v>0</v>
      </c>
      <c r="AF208" s="227">
        <f t="shared" si="59"/>
        <v>0.05</v>
      </c>
      <c r="AG208" s="227">
        <f>ROUNDDOWN(SUM(AF$191:AF208)-SUM(AG$191:AG207),0)*$A208</f>
        <v>0</v>
      </c>
      <c r="AH208" s="227">
        <f t="shared" si="60"/>
        <v>0</v>
      </c>
      <c r="AI208" s="210">
        <f t="shared" si="61"/>
        <v>0</v>
      </c>
      <c r="AJ208" s="210">
        <f t="shared" si="62"/>
        <v>0</v>
      </c>
      <c r="AK208" s="210">
        <f t="shared" si="63"/>
        <v>0</v>
      </c>
      <c r="AL208" s="210">
        <f t="shared" si="64"/>
        <v>0</v>
      </c>
      <c r="AM208" s="210">
        <f t="shared" si="65"/>
        <v>0.05</v>
      </c>
      <c r="AN208" s="227">
        <f>ROUNDDOWN(SUM(AM$191:AM208)-SUM(AN$191:AN207),0)*$A208</f>
        <v>0</v>
      </c>
      <c r="AO208" s="227">
        <f t="shared" si="66"/>
        <v>0</v>
      </c>
      <c r="AP208" s="210">
        <f t="shared" si="84"/>
        <v>0.7001593749656233</v>
      </c>
      <c r="AQ208" s="210">
        <f t="shared" si="85"/>
        <v>0.7001593749656233</v>
      </c>
      <c r="AR208" s="210">
        <f t="shared" si="86"/>
        <v>0.7001593749656233</v>
      </c>
      <c r="AS208" s="210">
        <f t="shared" si="87"/>
        <v>0.7001593749656233</v>
      </c>
      <c r="AT208" s="210">
        <f t="shared" si="88"/>
        <v>0.7001593749656233</v>
      </c>
      <c r="AU208" s="227">
        <f t="shared" si="72"/>
        <v>1.4282462475762727</v>
      </c>
      <c r="AV208" s="227">
        <f t="shared" si="79"/>
        <v>1</v>
      </c>
      <c r="AW208" s="227">
        <f t="shared" si="80"/>
        <v>1</v>
      </c>
      <c r="AX208" s="227">
        <f t="shared" si="81"/>
        <v>1</v>
      </c>
      <c r="AY208" s="227">
        <f t="shared" si="82"/>
        <v>1</v>
      </c>
      <c r="AZ208" s="227">
        <f t="shared" si="83"/>
        <v>1</v>
      </c>
      <c r="BB208" s="227"/>
      <c r="BC208" s="227"/>
      <c r="BD208" s="227"/>
      <c r="BE208" s="227"/>
      <c r="BF208" s="227"/>
      <c r="BG208" s="227"/>
      <c r="BH208" s="227"/>
      <c r="BI208" s="227"/>
      <c r="BJ208" s="227"/>
      <c r="BK208" s="227"/>
    </row>
    <row r="209" spans="1:63" x14ac:dyDescent="0.3">
      <c r="A209" s="210">
        <f t="shared" si="73"/>
        <v>0</v>
      </c>
      <c r="B209" s="210">
        <f t="shared" si="74"/>
        <v>1</v>
      </c>
      <c r="C209" s="210">
        <f t="shared" si="41"/>
        <v>0</v>
      </c>
      <c r="D209" s="210">
        <f t="shared" si="75"/>
        <v>1</v>
      </c>
      <c r="E209" s="210">
        <f t="shared" si="42"/>
        <v>0</v>
      </c>
      <c r="F209" s="297">
        <v>19</v>
      </c>
      <c r="G209" s="210">
        <f t="shared" si="76"/>
        <v>20</v>
      </c>
      <c r="I209" s="210">
        <v>19</v>
      </c>
      <c r="J209" s="295">
        <f t="shared" si="43"/>
        <v>0</v>
      </c>
      <c r="K209" s="295">
        <f t="shared" si="77"/>
        <v>0</v>
      </c>
      <c r="L209" s="295"/>
      <c r="M209" s="295">
        <f t="shared" si="44"/>
        <v>0</v>
      </c>
      <c r="N209" s="295">
        <f t="shared" si="45"/>
        <v>0</v>
      </c>
      <c r="O209" s="295">
        <f t="shared" si="46"/>
        <v>0</v>
      </c>
      <c r="P209" s="295">
        <f t="shared" si="47"/>
        <v>0</v>
      </c>
      <c r="Q209" s="295"/>
      <c r="R209" s="295">
        <f t="shared" si="78"/>
        <v>0</v>
      </c>
      <c r="S209" s="295">
        <f t="shared" si="48"/>
        <v>0</v>
      </c>
      <c r="T209" s="295">
        <f t="shared" si="49"/>
        <v>0</v>
      </c>
      <c r="U209" s="295"/>
      <c r="V209" s="295">
        <f t="shared" si="50"/>
        <v>0</v>
      </c>
      <c r="W209" s="295">
        <f t="shared" si="51"/>
        <v>0</v>
      </c>
      <c r="X209" s="295">
        <f t="shared" si="52"/>
        <v>0</v>
      </c>
      <c r="Y209" s="295">
        <f t="shared" si="53"/>
        <v>0</v>
      </c>
      <c r="Z209" s="295"/>
      <c r="AA209" s="295">
        <f t="shared" si="54"/>
        <v>0</v>
      </c>
      <c r="AB209" s="210">
        <f t="shared" si="55"/>
        <v>0</v>
      </c>
      <c r="AC209" s="210">
        <f t="shared" si="56"/>
        <v>0</v>
      </c>
      <c r="AD209" s="210">
        <f t="shared" si="57"/>
        <v>0</v>
      </c>
      <c r="AE209" s="210">
        <f t="shared" si="58"/>
        <v>0</v>
      </c>
      <c r="AF209" s="227">
        <f t="shared" si="59"/>
        <v>0.05</v>
      </c>
      <c r="AG209" s="227">
        <f>ROUNDDOWN(SUM(AF$191:AF209)-SUM(AG$191:AG208),0)*$A209</f>
        <v>0</v>
      </c>
      <c r="AH209" s="227">
        <f t="shared" si="60"/>
        <v>0</v>
      </c>
      <c r="AI209" s="210">
        <f t="shared" si="61"/>
        <v>0</v>
      </c>
      <c r="AJ209" s="210">
        <f t="shared" si="62"/>
        <v>0</v>
      </c>
      <c r="AK209" s="210">
        <f t="shared" si="63"/>
        <v>0</v>
      </c>
      <c r="AL209" s="210">
        <f t="shared" si="64"/>
        <v>0</v>
      </c>
      <c r="AM209" s="210">
        <f t="shared" si="65"/>
        <v>0.05</v>
      </c>
      <c r="AN209" s="227">
        <f>ROUNDDOWN(SUM(AM$191:AM209)-SUM(AN$191:AN208),0)*$A209</f>
        <v>0</v>
      </c>
      <c r="AO209" s="227">
        <f t="shared" si="66"/>
        <v>0</v>
      </c>
      <c r="AP209" s="210">
        <f t="shared" si="84"/>
        <v>0.68643075977021895</v>
      </c>
      <c r="AQ209" s="210">
        <f t="shared" si="85"/>
        <v>0.68643075977021895</v>
      </c>
      <c r="AR209" s="210">
        <f t="shared" si="86"/>
        <v>0.68643075977021895</v>
      </c>
      <c r="AS209" s="210">
        <f t="shared" si="87"/>
        <v>0.68643075977021895</v>
      </c>
      <c r="AT209" s="210">
        <f t="shared" si="88"/>
        <v>0.68643075977021895</v>
      </c>
      <c r="AU209" s="227">
        <f t="shared" si="72"/>
        <v>1.4568111725277981</v>
      </c>
      <c r="AV209" s="227">
        <f t="shared" si="79"/>
        <v>1</v>
      </c>
      <c r="AW209" s="227">
        <f t="shared" si="80"/>
        <v>1</v>
      </c>
      <c r="AX209" s="227">
        <f t="shared" si="81"/>
        <v>1</v>
      </c>
      <c r="AY209" s="227">
        <f t="shared" si="82"/>
        <v>1</v>
      </c>
      <c r="AZ209" s="227">
        <f t="shared" si="83"/>
        <v>1</v>
      </c>
      <c r="BB209" s="227"/>
      <c r="BC209" s="227"/>
      <c r="BD209" s="227"/>
      <c r="BE209" s="227"/>
      <c r="BF209" s="227"/>
      <c r="BG209" s="227"/>
      <c r="BH209" s="227"/>
      <c r="BI209" s="227"/>
      <c r="BJ209" s="227"/>
      <c r="BK209" s="227"/>
    </row>
    <row r="210" spans="1:63" x14ac:dyDescent="0.3">
      <c r="A210" s="210">
        <f t="shared" si="73"/>
        <v>0</v>
      </c>
      <c r="B210" s="210">
        <f t="shared" si="74"/>
        <v>1</v>
      </c>
      <c r="C210" s="210">
        <f t="shared" si="41"/>
        <v>0</v>
      </c>
      <c r="D210" s="210">
        <f t="shared" si="75"/>
        <v>1</v>
      </c>
      <c r="E210" s="210">
        <f t="shared" si="42"/>
        <v>0</v>
      </c>
      <c r="F210" s="297">
        <v>20</v>
      </c>
      <c r="G210" s="210">
        <f t="shared" si="76"/>
        <v>21</v>
      </c>
      <c r="I210" s="210">
        <v>20</v>
      </c>
      <c r="J210" s="295">
        <f t="shared" si="43"/>
        <v>0</v>
      </c>
      <c r="K210" s="295">
        <f t="shared" si="77"/>
        <v>0</v>
      </c>
      <c r="L210" s="295"/>
      <c r="M210" s="295">
        <f t="shared" si="44"/>
        <v>0</v>
      </c>
      <c r="N210" s="295">
        <f t="shared" si="45"/>
        <v>0</v>
      </c>
      <c r="O210" s="295">
        <f t="shared" si="46"/>
        <v>0</v>
      </c>
      <c r="P210" s="295">
        <f t="shared" si="47"/>
        <v>0</v>
      </c>
      <c r="Q210" s="295"/>
      <c r="R210" s="295">
        <f t="shared" si="78"/>
        <v>0</v>
      </c>
      <c r="S210" s="295">
        <f t="shared" si="48"/>
        <v>0</v>
      </c>
      <c r="T210" s="295">
        <f t="shared" si="49"/>
        <v>0</v>
      </c>
      <c r="U210" s="295"/>
      <c r="V210" s="295">
        <f t="shared" si="50"/>
        <v>0</v>
      </c>
      <c r="W210" s="295">
        <f t="shared" si="51"/>
        <v>0</v>
      </c>
      <c r="X210" s="295">
        <f t="shared" si="52"/>
        <v>0</v>
      </c>
      <c r="Y210" s="295">
        <f t="shared" si="53"/>
        <v>0</v>
      </c>
      <c r="Z210" s="295"/>
      <c r="AA210" s="295">
        <f t="shared" si="54"/>
        <v>0</v>
      </c>
      <c r="AB210" s="210">
        <f t="shared" si="55"/>
        <v>0</v>
      </c>
      <c r="AC210" s="210">
        <f t="shared" si="56"/>
        <v>0</v>
      </c>
      <c r="AD210" s="210">
        <f t="shared" si="57"/>
        <v>0</v>
      </c>
      <c r="AE210" s="210">
        <f t="shared" si="58"/>
        <v>0</v>
      </c>
      <c r="AF210" s="227">
        <f t="shared" si="59"/>
        <v>0.05</v>
      </c>
      <c r="AG210" s="227">
        <f>ROUNDDOWN(SUM(AF$191:AF210)-SUM(AG$191:AG209),0)*$A210</f>
        <v>0</v>
      </c>
      <c r="AH210" s="227">
        <f t="shared" si="60"/>
        <v>0</v>
      </c>
      <c r="AI210" s="210">
        <f t="shared" si="61"/>
        <v>0</v>
      </c>
      <c r="AJ210" s="210">
        <f t="shared" si="62"/>
        <v>0</v>
      </c>
      <c r="AK210" s="210">
        <f t="shared" si="63"/>
        <v>0</v>
      </c>
      <c r="AL210" s="210">
        <f t="shared" si="64"/>
        <v>0</v>
      </c>
      <c r="AM210" s="210">
        <f t="shared" si="65"/>
        <v>0.05</v>
      </c>
      <c r="AN210" s="227">
        <f>ROUNDDOWN(SUM(AM$191:AM210)-SUM(AN$191:AN209),0)*$A210</f>
        <v>0</v>
      </c>
      <c r="AO210" s="227">
        <f t="shared" si="66"/>
        <v>0</v>
      </c>
      <c r="AP210" s="210">
        <f t="shared" si="84"/>
        <v>0.67297133310805779</v>
      </c>
      <c r="AQ210" s="210">
        <f t="shared" si="85"/>
        <v>0.67297133310805779</v>
      </c>
      <c r="AR210" s="210">
        <f t="shared" si="86"/>
        <v>0.67297133310805779</v>
      </c>
      <c r="AS210" s="210">
        <f t="shared" si="87"/>
        <v>0.67297133310805779</v>
      </c>
      <c r="AT210" s="210">
        <f t="shared" si="88"/>
        <v>0.67297133310805779</v>
      </c>
      <c r="AU210" s="227">
        <f t="shared" si="72"/>
        <v>1.4859473959783542</v>
      </c>
      <c r="AV210" s="227">
        <f t="shared" si="79"/>
        <v>1</v>
      </c>
      <c r="AW210" s="227">
        <f t="shared" si="80"/>
        <v>1</v>
      </c>
      <c r="AX210" s="227">
        <f t="shared" si="81"/>
        <v>1</v>
      </c>
      <c r="AY210" s="227">
        <f t="shared" si="82"/>
        <v>1</v>
      </c>
      <c r="AZ210" s="227">
        <f t="shared" si="83"/>
        <v>1</v>
      </c>
      <c r="BB210" s="227"/>
      <c r="BC210" s="227"/>
      <c r="BD210" s="227"/>
      <c r="BE210" s="227"/>
      <c r="BF210" s="227"/>
      <c r="BG210" s="227"/>
      <c r="BH210" s="227"/>
      <c r="BI210" s="227"/>
      <c r="BJ210" s="227"/>
      <c r="BK210" s="227"/>
    </row>
    <row r="211" spans="1:63" x14ac:dyDescent="0.3">
      <c r="A211" s="210">
        <f t="shared" si="73"/>
        <v>0</v>
      </c>
      <c r="B211" s="210">
        <f t="shared" si="74"/>
        <v>0</v>
      </c>
      <c r="C211" s="210">
        <f t="shared" si="41"/>
        <v>0</v>
      </c>
      <c r="D211" s="210">
        <f t="shared" si="75"/>
        <v>0</v>
      </c>
      <c r="E211" s="210">
        <f t="shared" si="42"/>
        <v>0</v>
      </c>
      <c r="F211" s="297">
        <v>21</v>
      </c>
      <c r="G211" s="210">
        <f t="shared" si="76"/>
        <v>22</v>
      </c>
      <c r="I211" s="210">
        <v>21</v>
      </c>
      <c r="J211" s="295">
        <f t="shared" si="43"/>
        <v>0</v>
      </c>
      <c r="K211" s="295">
        <f t="shared" si="77"/>
        <v>0</v>
      </c>
      <c r="L211" s="295"/>
      <c r="M211" s="295">
        <f t="shared" si="44"/>
        <v>0</v>
      </c>
      <c r="N211" s="295">
        <f t="shared" si="45"/>
        <v>0</v>
      </c>
      <c r="O211" s="295">
        <f t="shared" si="46"/>
        <v>0</v>
      </c>
      <c r="P211" s="295">
        <f t="shared" si="47"/>
        <v>0</v>
      </c>
      <c r="Q211" s="295"/>
      <c r="R211" s="295">
        <f t="shared" si="78"/>
        <v>0</v>
      </c>
      <c r="S211" s="295">
        <f t="shared" si="48"/>
        <v>0</v>
      </c>
      <c r="T211" s="295">
        <f t="shared" si="49"/>
        <v>0</v>
      </c>
      <c r="U211" s="295"/>
      <c r="V211" s="295">
        <f t="shared" si="50"/>
        <v>0</v>
      </c>
      <c r="W211" s="295">
        <f t="shared" si="51"/>
        <v>0</v>
      </c>
      <c r="X211" s="295">
        <f t="shared" si="52"/>
        <v>0</v>
      </c>
      <c r="Y211" s="295">
        <f t="shared" si="53"/>
        <v>0</v>
      </c>
      <c r="Z211" s="295"/>
      <c r="AA211" s="295">
        <f t="shared" si="54"/>
        <v>0</v>
      </c>
      <c r="AB211" s="210">
        <f t="shared" si="55"/>
        <v>0</v>
      </c>
      <c r="AC211" s="210">
        <f t="shared" si="56"/>
        <v>0</v>
      </c>
      <c r="AD211" s="210">
        <f t="shared" si="57"/>
        <v>0</v>
      </c>
      <c r="AE211" s="210">
        <f t="shared" si="58"/>
        <v>0</v>
      </c>
      <c r="AF211" s="227">
        <f t="shared" si="59"/>
        <v>0.05</v>
      </c>
      <c r="AG211" s="227">
        <f>ROUNDDOWN(SUM(AF$191:AF211)-SUM(AG$191:AG210),0)*$A211</f>
        <v>0</v>
      </c>
      <c r="AH211" s="227">
        <f t="shared" si="60"/>
        <v>0</v>
      </c>
      <c r="AI211" s="210">
        <f t="shared" si="61"/>
        <v>0</v>
      </c>
      <c r="AJ211" s="210">
        <f t="shared" si="62"/>
        <v>0</v>
      </c>
      <c r="AK211" s="210">
        <f t="shared" si="63"/>
        <v>0</v>
      </c>
      <c r="AL211" s="210">
        <f t="shared" si="64"/>
        <v>0</v>
      </c>
      <c r="AM211" s="210">
        <f t="shared" si="65"/>
        <v>0.05</v>
      </c>
      <c r="AN211" s="227">
        <f>ROUNDDOWN(SUM(AM$191:AM211)-SUM(AN$191:AN210),0)*$A211</f>
        <v>0</v>
      </c>
      <c r="AO211" s="227">
        <f t="shared" si="66"/>
        <v>0</v>
      </c>
      <c r="AP211" s="210">
        <f t="shared" si="84"/>
        <v>0.65977581677260566</v>
      </c>
      <c r="AQ211" s="210">
        <f t="shared" si="85"/>
        <v>0.65977581677260566</v>
      </c>
      <c r="AR211" s="210">
        <f t="shared" si="86"/>
        <v>0.65977581677260566</v>
      </c>
      <c r="AS211" s="210">
        <f t="shared" si="87"/>
        <v>0.65977581677260566</v>
      </c>
      <c r="AT211" s="210">
        <f t="shared" si="88"/>
        <v>0.65977581677260566</v>
      </c>
      <c r="AU211" s="227">
        <f t="shared" si="72"/>
        <v>1.5156663438979212</v>
      </c>
      <c r="AV211" s="227">
        <f t="shared" si="79"/>
        <v>1</v>
      </c>
      <c r="AW211" s="227">
        <f t="shared" si="80"/>
        <v>1</v>
      </c>
      <c r="AX211" s="227">
        <f t="shared" si="81"/>
        <v>1</v>
      </c>
      <c r="AY211" s="227">
        <f t="shared" si="82"/>
        <v>1</v>
      </c>
      <c r="AZ211" s="227">
        <f t="shared" si="83"/>
        <v>1</v>
      </c>
      <c r="BB211" s="227"/>
      <c r="BC211" s="227"/>
      <c r="BD211" s="227"/>
      <c r="BE211" s="227"/>
      <c r="BF211" s="227"/>
      <c r="BG211" s="227"/>
      <c r="BH211" s="227"/>
      <c r="BI211" s="227"/>
      <c r="BJ211" s="227"/>
      <c r="BK211" s="227"/>
    </row>
    <row r="212" spans="1:63" x14ac:dyDescent="0.3">
      <c r="A212" s="210">
        <f t="shared" si="73"/>
        <v>0</v>
      </c>
      <c r="B212" s="210">
        <f t="shared" si="74"/>
        <v>0</v>
      </c>
      <c r="C212" s="210">
        <f t="shared" si="41"/>
        <v>0</v>
      </c>
      <c r="D212" s="210">
        <f t="shared" si="75"/>
        <v>0</v>
      </c>
      <c r="E212" s="210">
        <f t="shared" si="42"/>
        <v>0</v>
      </c>
      <c r="F212" s="297">
        <v>22</v>
      </c>
      <c r="G212" s="210">
        <f t="shared" si="76"/>
        <v>23</v>
      </c>
      <c r="I212" s="210">
        <v>22</v>
      </c>
      <c r="J212" s="295">
        <f t="shared" si="43"/>
        <v>0</v>
      </c>
      <c r="K212" s="295">
        <f t="shared" si="77"/>
        <v>0</v>
      </c>
      <c r="L212" s="295"/>
      <c r="M212" s="295">
        <f t="shared" si="44"/>
        <v>0</v>
      </c>
      <c r="N212" s="295">
        <f t="shared" si="45"/>
        <v>0</v>
      </c>
      <c r="O212" s="295">
        <f t="shared" si="46"/>
        <v>0</v>
      </c>
      <c r="P212" s="295">
        <f t="shared" si="47"/>
        <v>0</v>
      </c>
      <c r="Q212" s="295"/>
      <c r="R212" s="295">
        <f t="shared" si="78"/>
        <v>0</v>
      </c>
      <c r="S212" s="295">
        <f t="shared" si="48"/>
        <v>0</v>
      </c>
      <c r="T212" s="295">
        <f t="shared" si="49"/>
        <v>0</v>
      </c>
      <c r="U212" s="295"/>
      <c r="V212" s="295">
        <f t="shared" si="50"/>
        <v>0</v>
      </c>
      <c r="W212" s="295">
        <f t="shared" si="51"/>
        <v>0</v>
      </c>
      <c r="X212" s="295">
        <f t="shared" si="52"/>
        <v>0</v>
      </c>
      <c r="Y212" s="295">
        <f t="shared" si="53"/>
        <v>0</v>
      </c>
      <c r="Z212" s="295"/>
      <c r="AA212" s="295">
        <f t="shared" si="54"/>
        <v>0</v>
      </c>
      <c r="AB212" s="210">
        <f t="shared" si="55"/>
        <v>0</v>
      </c>
      <c r="AC212" s="210">
        <f t="shared" si="56"/>
        <v>0</v>
      </c>
      <c r="AD212" s="210">
        <f t="shared" si="57"/>
        <v>0</v>
      </c>
      <c r="AE212" s="210">
        <f t="shared" si="58"/>
        <v>0</v>
      </c>
      <c r="AF212" s="227">
        <f t="shared" si="59"/>
        <v>0.05</v>
      </c>
      <c r="AG212" s="227">
        <f>ROUNDDOWN(SUM(AF$191:AF212)-SUM(AG$191:AG211),0)*$A212</f>
        <v>0</v>
      </c>
      <c r="AH212" s="227">
        <f t="shared" si="60"/>
        <v>0</v>
      </c>
      <c r="AI212" s="210">
        <f t="shared" si="61"/>
        <v>0</v>
      </c>
      <c r="AJ212" s="210">
        <f t="shared" si="62"/>
        <v>0</v>
      </c>
      <c r="AK212" s="210">
        <f t="shared" si="63"/>
        <v>0</v>
      </c>
      <c r="AL212" s="210">
        <f t="shared" si="64"/>
        <v>0</v>
      </c>
      <c r="AM212" s="210">
        <f t="shared" si="65"/>
        <v>0.05</v>
      </c>
      <c r="AN212" s="227">
        <f>ROUNDDOWN(SUM(AM$191:AM212)-SUM(AN$191:AN211),0)*$A212</f>
        <v>0</v>
      </c>
      <c r="AO212" s="227">
        <f t="shared" si="66"/>
        <v>0</v>
      </c>
      <c r="AP212" s="210">
        <f t="shared" si="84"/>
        <v>0.64683903605157411</v>
      </c>
      <c r="AQ212" s="210">
        <f t="shared" si="85"/>
        <v>0.64683903605157411</v>
      </c>
      <c r="AR212" s="210">
        <f t="shared" si="86"/>
        <v>0.64683903605157411</v>
      </c>
      <c r="AS212" s="210">
        <f t="shared" si="87"/>
        <v>0.64683903605157411</v>
      </c>
      <c r="AT212" s="210">
        <f t="shared" si="88"/>
        <v>0.64683903605157411</v>
      </c>
      <c r="AU212" s="227">
        <f t="shared" si="72"/>
        <v>1.5459796707758797</v>
      </c>
      <c r="AV212" s="227">
        <f t="shared" si="79"/>
        <v>1</v>
      </c>
      <c r="AW212" s="227">
        <f t="shared" si="80"/>
        <v>1</v>
      </c>
      <c r="AX212" s="227">
        <f t="shared" si="81"/>
        <v>1</v>
      </c>
      <c r="AY212" s="227">
        <f t="shared" si="82"/>
        <v>1</v>
      </c>
      <c r="AZ212" s="227">
        <f t="shared" si="83"/>
        <v>1</v>
      </c>
      <c r="BB212" s="227"/>
      <c r="BC212" s="227"/>
      <c r="BD212" s="227"/>
      <c r="BE212" s="227"/>
      <c r="BF212" s="227"/>
      <c r="BG212" s="227"/>
      <c r="BH212" s="227"/>
      <c r="BI212" s="227"/>
      <c r="BJ212" s="227"/>
      <c r="BK212" s="227"/>
    </row>
    <row r="213" spans="1:63" x14ac:dyDescent="0.3">
      <c r="A213" s="210">
        <f t="shared" si="73"/>
        <v>0</v>
      </c>
      <c r="B213" s="210">
        <f t="shared" si="74"/>
        <v>0</v>
      </c>
      <c r="C213" s="210">
        <f t="shared" si="41"/>
        <v>0</v>
      </c>
      <c r="D213" s="210">
        <f t="shared" si="75"/>
        <v>0</v>
      </c>
      <c r="E213" s="210">
        <f t="shared" si="42"/>
        <v>0</v>
      </c>
      <c r="F213" s="297">
        <v>23</v>
      </c>
      <c r="G213" s="210">
        <f t="shared" si="76"/>
        <v>24</v>
      </c>
      <c r="I213" s="210">
        <v>23</v>
      </c>
      <c r="J213" s="295">
        <f t="shared" si="43"/>
        <v>0</v>
      </c>
      <c r="K213" s="295">
        <f t="shared" si="77"/>
        <v>0</v>
      </c>
      <c r="L213" s="295"/>
      <c r="M213" s="295">
        <f t="shared" si="44"/>
        <v>0</v>
      </c>
      <c r="N213" s="295">
        <f t="shared" si="45"/>
        <v>0</v>
      </c>
      <c r="O213" s="295">
        <f t="shared" si="46"/>
        <v>0</v>
      </c>
      <c r="P213" s="295">
        <f t="shared" si="47"/>
        <v>0</v>
      </c>
      <c r="Q213" s="295"/>
      <c r="R213" s="295">
        <f t="shared" si="78"/>
        <v>0</v>
      </c>
      <c r="S213" s="295">
        <f t="shared" si="48"/>
        <v>0</v>
      </c>
      <c r="T213" s="295">
        <f t="shared" si="49"/>
        <v>0</v>
      </c>
      <c r="U213" s="295"/>
      <c r="V213" s="295">
        <f t="shared" si="50"/>
        <v>0</v>
      </c>
      <c r="W213" s="295">
        <f t="shared" si="51"/>
        <v>0</v>
      </c>
      <c r="X213" s="295">
        <f t="shared" si="52"/>
        <v>0</v>
      </c>
      <c r="Y213" s="295">
        <f t="shared" si="53"/>
        <v>0</v>
      </c>
      <c r="Z213" s="295"/>
      <c r="AA213" s="295">
        <f t="shared" si="54"/>
        <v>0</v>
      </c>
      <c r="AB213" s="210">
        <f t="shared" si="55"/>
        <v>0</v>
      </c>
      <c r="AC213" s="210">
        <f t="shared" si="56"/>
        <v>0</v>
      </c>
      <c r="AD213" s="210">
        <f t="shared" si="57"/>
        <v>0</v>
      </c>
      <c r="AE213" s="210">
        <f t="shared" si="58"/>
        <v>0</v>
      </c>
      <c r="AF213" s="227">
        <f t="shared" si="59"/>
        <v>0.05</v>
      </c>
      <c r="AG213" s="227">
        <f>ROUNDDOWN(SUM(AF$191:AF213)-SUM(AG$191:AG212),0)*$A213</f>
        <v>0</v>
      </c>
      <c r="AH213" s="227">
        <f t="shared" si="60"/>
        <v>0</v>
      </c>
      <c r="AI213" s="210">
        <f t="shared" si="61"/>
        <v>0</v>
      </c>
      <c r="AJ213" s="210">
        <f t="shared" si="62"/>
        <v>0</v>
      </c>
      <c r="AK213" s="210">
        <f t="shared" si="63"/>
        <v>0</v>
      </c>
      <c r="AL213" s="210">
        <f t="shared" si="64"/>
        <v>0</v>
      </c>
      <c r="AM213" s="210">
        <f t="shared" si="65"/>
        <v>0.05</v>
      </c>
      <c r="AN213" s="227">
        <f>ROUNDDOWN(SUM(AM$191:AM213)-SUM(AN$191:AN212),0)*$A213</f>
        <v>0</v>
      </c>
      <c r="AO213" s="227">
        <f t="shared" si="66"/>
        <v>0</v>
      </c>
      <c r="AP213" s="210">
        <f t="shared" si="84"/>
        <v>0.63415591769762181</v>
      </c>
      <c r="AQ213" s="210">
        <f t="shared" si="85"/>
        <v>0.63415591769762181</v>
      </c>
      <c r="AR213" s="210">
        <f t="shared" si="86"/>
        <v>0.63415591769762181</v>
      </c>
      <c r="AS213" s="210">
        <f t="shared" si="87"/>
        <v>0.63415591769762181</v>
      </c>
      <c r="AT213" s="210">
        <f t="shared" si="88"/>
        <v>0.63415591769762181</v>
      </c>
      <c r="AU213" s="227">
        <f t="shared" si="72"/>
        <v>1.576899264191397</v>
      </c>
      <c r="AV213" s="227">
        <f t="shared" si="79"/>
        <v>1</v>
      </c>
      <c r="AW213" s="227">
        <f t="shared" si="80"/>
        <v>1</v>
      </c>
      <c r="AX213" s="227">
        <f t="shared" si="81"/>
        <v>1</v>
      </c>
      <c r="AY213" s="227">
        <f t="shared" si="82"/>
        <v>1</v>
      </c>
      <c r="AZ213" s="227">
        <f t="shared" si="83"/>
        <v>1</v>
      </c>
      <c r="BB213" s="227"/>
      <c r="BC213" s="227"/>
      <c r="BD213" s="227"/>
      <c r="BE213" s="227"/>
      <c r="BF213" s="227"/>
      <c r="BG213" s="227"/>
      <c r="BH213" s="227"/>
      <c r="BI213" s="227"/>
      <c r="BJ213" s="227"/>
      <c r="BK213" s="227"/>
    </row>
    <row r="214" spans="1:63" x14ac:dyDescent="0.3">
      <c r="A214" s="210">
        <f t="shared" si="73"/>
        <v>0</v>
      </c>
      <c r="B214" s="210">
        <f t="shared" si="74"/>
        <v>0</v>
      </c>
      <c r="C214" s="210">
        <f t="shared" si="41"/>
        <v>0</v>
      </c>
      <c r="D214" s="210">
        <f t="shared" si="75"/>
        <v>0</v>
      </c>
      <c r="E214" s="210">
        <f t="shared" si="42"/>
        <v>0</v>
      </c>
      <c r="F214" s="297">
        <v>24</v>
      </c>
      <c r="G214" s="210">
        <f t="shared" si="76"/>
        <v>25</v>
      </c>
      <c r="I214" s="210">
        <v>24</v>
      </c>
      <c r="J214" s="295">
        <f t="shared" si="43"/>
        <v>0</v>
      </c>
      <c r="K214" s="295">
        <f t="shared" si="77"/>
        <v>0</v>
      </c>
      <c r="L214" s="295"/>
      <c r="M214" s="295">
        <f t="shared" si="44"/>
        <v>0</v>
      </c>
      <c r="N214" s="295">
        <f t="shared" si="45"/>
        <v>0</v>
      </c>
      <c r="O214" s="295">
        <f t="shared" si="46"/>
        <v>0</v>
      </c>
      <c r="P214" s="295">
        <f t="shared" si="47"/>
        <v>0</v>
      </c>
      <c r="Q214" s="295"/>
      <c r="R214" s="295">
        <f t="shared" si="78"/>
        <v>0</v>
      </c>
      <c r="S214" s="295">
        <f t="shared" si="48"/>
        <v>0</v>
      </c>
      <c r="T214" s="295">
        <f t="shared" si="49"/>
        <v>0</v>
      </c>
      <c r="U214" s="295"/>
      <c r="V214" s="295">
        <f t="shared" si="50"/>
        <v>0</v>
      </c>
      <c r="W214" s="295">
        <f t="shared" si="51"/>
        <v>0</v>
      </c>
      <c r="X214" s="295">
        <f t="shared" si="52"/>
        <v>0</v>
      </c>
      <c r="Y214" s="295">
        <f t="shared" si="53"/>
        <v>0</v>
      </c>
      <c r="Z214" s="295"/>
      <c r="AA214" s="295">
        <f t="shared" si="54"/>
        <v>0</v>
      </c>
      <c r="AB214" s="210">
        <f t="shared" si="55"/>
        <v>0</v>
      </c>
      <c r="AC214" s="210">
        <f t="shared" si="56"/>
        <v>0</v>
      </c>
      <c r="AD214" s="210">
        <f t="shared" si="57"/>
        <v>0</v>
      </c>
      <c r="AE214" s="210">
        <f t="shared" si="58"/>
        <v>0</v>
      </c>
      <c r="AF214" s="227">
        <f t="shared" si="59"/>
        <v>0.05</v>
      </c>
      <c r="AG214" s="227">
        <f>ROUNDDOWN(SUM(AF$191:AF214)-SUM(AG$191:AG213),0)*$A214</f>
        <v>0</v>
      </c>
      <c r="AH214" s="227">
        <f t="shared" si="60"/>
        <v>0</v>
      </c>
      <c r="AI214" s="210">
        <f t="shared" si="61"/>
        <v>0</v>
      </c>
      <c r="AJ214" s="210">
        <f t="shared" si="62"/>
        <v>0</v>
      </c>
      <c r="AK214" s="210">
        <f t="shared" si="63"/>
        <v>0</v>
      </c>
      <c r="AL214" s="210">
        <f t="shared" si="64"/>
        <v>0</v>
      </c>
      <c r="AM214" s="210">
        <f t="shared" si="65"/>
        <v>0.05</v>
      </c>
      <c r="AN214" s="227">
        <f>ROUNDDOWN(SUM(AM$191:AM214)-SUM(AN$191:AN213),0)*$A214</f>
        <v>0</v>
      </c>
      <c r="AO214" s="227">
        <f t="shared" si="66"/>
        <v>0</v>
      </c>
      <c r="AP214" s="210">
        <f t="shared" si="84"/>
        <v>0.62172148793884485</v>
      </c>
      <c r="AQ214" s="210">
        <f t="shared" si="85"/>
        <v>0.62172148793884485</v>
      </c>
      <c r="AR214" s="210">
        <f t="shared" si="86"/>
        <v>0.62172148793884485</v>
      </c>
      <c r="AS214" s="210">
        <f t="shared" si="87"/>
        <v>0.62172148793884485</v>
      </c>
      <c r="AT214" s="210">
        <f t="shared" si="88"/>
        <v>0.62172148793884485</v>
      </c>
      <c r="AU214" s="227">
        <f t="shared" si="72"/>
        <v>1.608437249475225</v>
      </c>
      <c r="AV214" s="227">
        <f t="shared" si="79"/>
        <v>1</v>
      </c>
      <c r="AW214" s="227">
        <f t="shared" si="80"/>
        <v>1</v>
      </c>
      <c r="AX214" s="227">
        <f t="shared" si="81"/>
        <v>1</v>
      </c>
      <c r="AY214" s="227">
        <f t="shared" si="82"/>
        <v>1</v>
      </c>
      <c r="AZ214" s="227">
        <f t="shared" si="83"/>
        <v>1</v>
      </c>
      <c r="BB214" s="227"/>
      <c r="BC214" s="227"/>
      <c r="BD214" s="227"/>
      <c r="BE214" s="227"/>
      <c r="BF214" s="227"/>
      <c r="BG214" s="227"/>
      <c r="BH214" s="227"/>
      <c r="BI214" s="227"/>
      <c r="BJ214" s="227"/>
      <c r="BK214" s="227"/>
    </row>
    <row r="215" spans="1:63" x14ac:dyDescent="0.3">
      <c r="A215" s="210">
        <f t="shared" si="73"/>
        <v>0</v>
      </c>
      <c r="B215" s="210">
        <f t="shared" si="74"/>
        <v>0</v>
      </c>
      <c r="C215" s="210">
        <f t="shared" si="41"/>
        <v>0</v>
      </c>
      <c r="D215" s="210">
        <f t="shared" si="75"/>
        <v>0</v>
      </c>
      <c r="E215" s="210">
        <f t="shared" si="42"/>
        <v>0</v>
      </c>
      <c r="F215" s="297">
        <v>25</v>
      </c>
      <c r="G215" s="210">
        <f t="shared" si="76"/>
        <v>26</v>
      </c>
      <c r="I215" s="210">
        <v>25</v>
      </c>
      <c r="J215" s="295">
        <f t="shared" si="43"/>
        <v>0</v>
      </c>
      <c r="K215" s="295">
        <f t="shared" si="77"/>
        <v>0</v>
      </c>
      <c r="L215" s="295"/>
      <c r="M215" s="295">
        <f t="shared" si="44"/>
        <v>0</v>
      </c>
      <c r="N215" s="295">
        <f t="shared" si="45"/>
        <v>0</v>
      </c>
      <c r="O215" s="295">
        <f t="shared" si="46"/>
        <v>0</v>
      </c>
      <c r="P215" s="295">
        <f t="shared" si="47"/>
        <v>0</v>
      </c>
      <c r="Q215" s="295"/>
      <c r="R215" s="295">
        <f t="shared" si="78"/>
        <v>0</v>
      </c>
      <c r="S215" s="295">
        <f t="shared" si="48"/>
        <v>0</v>
      </c>
      <c r="T215" s="295">
        <f t="shared" si="49"/>
        <v>0</v>
      </c>
      <c r="U215" s="295"/>
      <c r="V215" s="295">
        <f t="shared" si="50"/>
        <v>0</v>
      </c>
      <c r="W215" s="295">
        <f t="shared" si="51"/>
        <v>0</v>
      </c>
      <c r="X215" s="295">
        <f t="shared" si="52"/>
        <v>0</v>
      </c>
      <c r="Y215" s="295">
        <f t="shared" si="53"/>
        <v>0</v>
      </c>
      <c r="Z215" s="295"/>
      <c r="AA215" s="295">
        <f t="shared" si="54"/>
        <v>0</v>
      </c>
      <c r="AB215" s="210">
        <f t="shared" si="55"/>
        <v>0</v>
      </c>
      <c r="AC215" s="210">
        <f t="shared" si="56"/>
        <v>0</v>
      </c>
      <c r="AD215" s="210">
        <f t="shared" si="57"/>
        <v>0</v>
      </c>
      <c r="AE215" s="210">
        <f t="shared" si="58"/>
        <v>0</v>
      </c>
      <c r="AF215" s="227">
        <f t="shared" si="59"/>
        <v>0.05</v>
      </c>
      <c r="AG215" s="227">
        <f>ROUNDDOWN(SUM(AF$191:AF215)-SUM(AG$191:AG214),0)*$A215</f>
        <v>0</v>
      </c>
      <c r="AH215" s="227">
        <f t="shared" si="60"/>
        <v>0</v>
      </c>
      <c r="AI215" s="210">
        <f t="shared" si="61"/>
        <v>0</v>
      </c>
      <c r="AJ215" s="210">
        <f t="shared" si="62"/>
        <v>0</v>
      </c>
      <c r="AK215" s="210">
        <f t="shared" si="63"/>
        <v>0</v>
      </c>
      <c r="AL215" s="210">
        <f t="shared" si="64"/>
        <v>0</v>
      </c>
      <c r="AM215" s="210">
        <f t="shared" si="65"/>
        <v>0.05</v>
      </c>
      <c r="AN215" s="227">
        <f>ROUNDDOWN(SUM(AM$191:AM215)-SUM(AN$191:AN214),0)*$A215</f>
        <v>0</v>
      </c>
      <c r="AO215" s="227">
        <f t="shared" si="66"/>
        <v>0</v>
      </c>
      <c r="AP215" s="210">
        <f t="shared" si="84"/>
        <v>0.60953087052827937</v>
      </c>
      <c r="AQ215" s="210">
        <f t="shared" si="85"/>
        <v>0.60953087052827937</v>
      </c>
      <c r="AR215" s="210">
        <f t="shared" si="86"/>
        <v>0.60953087052827937</v>
      </c>
      <c r="AS215" s="210">
        <f t="shared" si="87"/>
        <v>0.60953087052827937</v>
      </c>
      <c r="AT215" s="210">
        <f t="shared" si="88"/>
        <v>0.60953087052827937</v>
      </c>
      <c r="AU215" s="227">
        <f t="shared" si="72"/>
        <v>1.6406059944647295</v>
      </c>
      <c r="AV215" s="227">
        <f t="shared" si="79"/>
        <v>1</v>
      </c>
      <c r="AW215" s="227">
        <f t="shared" si="80"/>
        <v>1</v>
      </c>
      <c r="AX215" s="227">
        <f t="shared" si="81"/>
        <v>1</v>
      </c>
      <c r="AY215" s="227">
        <f t="shared" si="82"/>
        <v>1</v>
      </c>
      <c r="AZ215" s="227">
        <f t="shared" si="83"/>
        <v>1</v>
      </c>
      <c r="BB215" s="227"/>
      <c r="BC215" s="227"/>
      <c r="BD215" s="227"/>
      <c r="BE215" s="227"/>
      <c r="BF215" s="227"/>
      <c r="BG215" s="227"/>
      <c r="BH215" s="227"/>
      <c r="BI215" s="227"/>
      <c r="BJ215" s="227"/>
      <c r="BK215" s="227"/>
    </row>
    <row r="216" spans="1:63" x14ac:dyDescent="0.3">
      <c r="A216" s="210">
        <f t="shared" si="73"/>
        <v>0</v>
      </c>
      <c r="B216" s="210">
        <f t="shared" si="74"/>
        <v>0</v>
      </c>
      <c r="C216" s="210">
        <f t="shared" si="41"/>
        <v>0</v>
      </c>
      <c r="D216" s="210">
        <f t="shared" si="75"/>
        <v>0</v>
      </c>
      <c r="E216" s="210">
        <f t="shared" si="42"/>
        <v>0</v>
      </c>
      <c r="F216" s="297">
        <v>26</v>
      </c>
      <c r="G216" s="210">
        <f t="shared" si="76"/>
        <v>27</v>
      </c>
      <c r="I216" s="210">
        <v>25</v>
      </c>
      <c r="J216" s="295">
        <f t="shared" si="43"/>
        <v>0</v>
      </c>
      <c r="K216" s="295">
        <f t="shared" si="77"/>
        <v>0</v>
      </c>
      <c r="L216" s="295"/>
      <c r="M216" s="295">
        <f t="shared" si="44"/>
        <v>0</v>
      </c>
      <c r="N216" s="295">
        <f t="shared" si="45"/>
        <v>0</v>
      </c>
      <c r="O216" s="295">
        <f t="shared" si="46"/>
        <v>0</v>
      </c>
      <c r="P216" s="295">
        <f t="shared" si="47"/>
        <v>0</v>
      </c>
      <c r="Q216" s="295"/>
      <c r="R216" s="295">
        <f t="shared" si="78"/>
        <v>0</v>
      </c>
      <c r="S216" s="295">
        <f t="shared" si="48"/>
        <v>0</v>
      </c>
      <c r="T216" s="295">
        <f t="shared" si="49"/>
        <v>0</v>
      </c>
      <c r="U216" s="295"/>
      <c r="V216" s="295">
        <f t="shared" si="50"/>
        <v>0</v>
      </c>
      <c r="W216" s="295">
        <f t="shared" si="51"/>
        <v>0</v>
      </c>
      <c r="X216" s="295">
        <f t="shared" si="52"/>
        <v>0</v>
      </c>
      <c r="Y216" s="295">
        <f t="shared" si="53"/>
        <v>0</v>
      </c>
      <c r="Z216" s="295"/>
      <c r="AA216" s="295">
        <f t="shared" si="54"/>
        <v>0</v>
      </c>
      <c r="AB216" s="210">
        <f t="shared" si="55"/>
        <v>0</v>
      </c>
      <c r="AC216" s="210">
        <f t="shared" si="56"/>
        <v>0</v>
      </c>
      <c r="AD216" s="210">
        <f t="shared" si="57"/>
        <v>0</v>
      </c>
      <c r="AE216" s="210">
        <f t="shared" si="58"/>
        <v>0</v>
      </c>
      <c r="AF216" s="227">
        <f t="shared" si="59"/>
        <v>0.05</v>
      </c>
      <c r="AG216" s="227">
        <f>ROUNDDOWN(SUM(AF$191:AF216)-SUM(AG$191:AG215),0)*$A216</f>
        <v>0</v>
      </c>
      <c r="AH216" s="227">
        <f t="shared" si="60"/>
        <v>0</v>
      </c>
      <c r="AI216" s="210">
        <f t="shared" si="61"/>
        <v>0</v>
      </c>
      <c r="AJ216" s="210">
        <f t="shared" si="62"/>
        <v>0</v>
      </c>
      <c r="AK216" s="210">
        <f t="shared" si="63"/>
        <v>0</v>
      </c>
      <c r="AL216" s="210">
        <f t="shared" si="64"/>
        <v>0</v>
      </c>
      <c r="AM216" s="210">
        <f t="shared" si="65"/>
        <v>0.05</v>
      </c>
      <c r="AN216" s="227">
        <f>ROUNDDOWN(SUM(AM$191:AM216)-SUM(AN$191:AN215),0)*$A216</f>
        <v>0</v>
      </c>
      <c r="AO216" s="227">
        <f t="shared" si="66"/>
        <v>0</v>
      </c>
      <c r="AP216" s="210">
        <f t="shared" si="84"/>
        <v>0.59757928483164635</v>
      </c>
      <c r="AQ216" s="210">
        <f t="shared" si="85"/>
        <v>0.59757928483164635</v>
      </c>
      <c r="AR216" s="210">
        <f t="shared" si="86"/>
        <v>0.59757928483164635</v>
      </c>
      <c r="AS216" s="210">
        <f t="shared" si="87"/>
        <v>0.59757928483164635</v>
      </c>
      <c r="AT216" s="210">
        <f t="shared" si="88"/>
        <v>0.59757928483164635</v>
      </c>
      <c r="AU216" s="227">
        <f t="shared" si="72"/>
        <v>1.6734181143540243</v>
      </c>
      <c r="AV216" s="227">
        <f t="shared" si="79"/>
        <v>1</v>
      </c>
      <c r="AW216" s="227">
        <f t="shared" si="80"/>
        <v>1</v>
      </c>
      <c r="AX216" s="227">
        <f t="shared" si="81"/>
        <v>1</v>
      </c>
      <c r="AY216" s="227">
        <f t="shared" si="82"/>
        <v>1</v>
      </c>
      <c r="AZ216" s="227">
        <f t="shared" si="83"/>
        <v>1</v>
      </c>
      <c r="BB216" s="227"/>
      <c r="BC216" s="227"/>
      <c r="BD216" s="227"/>
      <c r="BE216" s="227"/>
      <c r="BF216" s="227"/>
      <c r="BG216" s="227"/>
      <c r="BH216" s="227"/>
      <c r="BI216" s="227"/>
      <c r="BJ216" s="227"/>
      <c r="BK216" s="227"/>
    </row>
    <row r="217" spans="1:63" x14ac:dyDescent="0.3">
      <c r="A217" s="210">
        <f t="shared" si="73"/>
        <v>0</v>
      </c>
      <c r="B217" s="210">
        <f t="shared" si="74"/>
        <v>0</v>
      </c>
      <c r="C217" s="210">
        <f t="shared" si="41"/>
        <v>0</v>
      </c>
      <c r="D217" s="210">
        <f t="shared" si="75"/>
        <v>0</v>
      </c>
      <c r="E217" s="210">
        <f t="shared" si="42"/>
        <v>0</v>
      </c>
      <c r="F217" s="297">
        <v>27</v>
      </c>
      <c r="G217" s="210">
        <f t="shared" si="76"/>
        <v>28</v>
      </c>
      <c r="I217" s="210">
        <v>25</v>
      </c>
      <c r="J217" s="295"/>
      <c r="K217" s="295">
        <f t="shared" si="77"/>
        <v>0</v>
      </c>
      <c r="L217" s="295"/>
      <c r="M217" s="295"/>
      <c r="N217" s="295"/>
      <c r="O217" s="295"/>
      <c r="P217" s="295"/>
      <c r="Q217" s="295"/>
      <c r="R217" s="295"/>
      <c r="S217" s="295"/>
      <c r="T217" s="295">
        <f t="shared" si="49"/>
        <v>0</v>
      </c>
      <c r="U217" s="295"/>
      <c r="V217" s="295"/>
      <c r="W217" s="295"/>
      <c r="X217" s="295"/>
      <c r="Y217" s="295"/>
      <c r="Z217" s="295"/>
      <c r="AA217" s="295"/>
      <c r="AB217" s="210">
        <f t="shared" si="55"/>
        <v>0</v>
      </c>
      <c r="AC217" s="210">
        <f t="shared" si="56"/>
        <v>0</v>
      </c>
      <c r="AD217" s="210">
        <f t="shared" si="57"/>
        <v>0</v>
      </c>
      <c r="AE217" s="210">
        <f t="shared" si="58"/>
        <v>0</v>
      </c>
      <c r="AF217" s="227">
        <f t="shared" si="59"/>
        <v>0.05</v>
      </c>
      <c r="AG217" s="227">
        <f>ROUNDDOWN(SUM(AF$191:AF217)-SUM(AG$191:AG216),0)*$A217</f>
        <v>0</v>
      </c>
      <c r="AH217" s="227">
        <f t="shared" si="60"/>
        <v>0</v>
      </c>
      <c r="AI217" s="210">
        <f t="shared" si="61"/>
        <v>0</v>
      </c>
      <c r="AJ217" s="210">
        <f t="shared" si="62"/>
        <v>0</v>
      </c>
      <c r="AK217" s="210">
        <f t="shared" si="63"/>
        <v>0</v>
      </c>
      <c r="AL217" s="210">
        <f t="shared" si="64"/>
        <v>0</v>
      </c>
      <c r="AM217" s="210">
        <f t="shared" si="65"/>
        <v>0.05</v>
      </c>
      <c r="AN217" s="227">
        <f>ROUNDDOWN(SUM(AM$191:AM217)-SUM(AN$191:AN216),0)*$A217</f>
        <v>0</v>
      </c>
      <c r="AO217" s="227">
        <f t="shared" si="66"/>
        <v>0</v>
      </c>
      <c r="AP217" s="210">
        <f t="shared" si="84"/>
        <v>0.58586204395259456</v>
      </c>
      <c r="AQ217" s="210">
        <f t="shared" si="85"/>
        <v>0.58586204395259456</v>
      </c>
      <c r="AR217" s="210">
        <f t="shared" si="86"/>
        <v>0.58586204395259456</v>
      </c>
      <c r="AS217" s="210">
        <f t="shared" si="87"/>
        <v>0.58586204395259456</v>
      </c>
      <c r="AT217" s="210">
        <f t="shared" si="88"/>
        <v>0.58586204395259456</v>
      </c>
      <c r="AU217" s="227">
        <f t="shared" si="72"/>
        <v>1.7068864766411045</v>
      </c>
      <c r="AV217" s="227">
        <f t="shared" si="79"/>
        <v>1</v>
      </c>
      <c r="AW217" s="227">
        <f t="shared" si="80"/>
        <v>1</v>
      </c>
      <c r="AX217" s="227">
        <f t="shared" si="81"/>
        <v>1</v>
      </c>
      <c r="AY217" s="227">
        <f t="shared" si="82"/>
        <v>1</v>
      </c>
      <c r="AZ217" s="227">
        <f t="shared" si="83"/>
        <v>1</v>
      </c>
      <c r="BB217" s="227"/>
      <c r="BC217" s="227"/>
      <c r="BD217" s="227"/>
      <c r="BE217" s="227"/>
      <c r="BF217" s="227"/>
      <c r="BG217" s="227"/>
      <c r="BH217" s="227"/>
      <c r="BI217" s="227"/>
      <c r="BJ217" s="227"/>
      <c r="BK217" s="227"/>
    </row>
    <row r="218" spans="1:63" x14ac:dyDescent="0.3">
      <c r="A218" s="210">
        <f t="shared" si="73"/>
        <v>0</v>
      </c>
      <c r="B218" s="210">
        <f t="shared" si="74"/>
        <v>0</v>
      </c>
      <c r="C218" s="210">
        <f t="shared" si="41"/>
        <v>0</v>
      </c>
      <c r="D218" s="210">
        <f t="shared" si="75"/>
        <v>0</v>
      </c>
      <c r="E218" s="210">
        <f t="shared" si="42"/>
        <v>0</v>
      </c>
      <c r="F218" s="297">
        <v>28</v>
      </c>
      <c r="G218" s="210">
        <f t="shared" si="76"/>
        <v>29</v>
      </c>
      <c r="I218" s="210">
        <v>25</v>
      </c>
      <c r="J218" s="295"/>
      <c r="K218" s="295">
        <f t="shared" si="77"/>
        <v>0</v>
      </c>
      <c r="L218" s="295"/>
      <c r="M218" s="295"/>
      <c r="N218" s="295"/>
      <c r="O218" s="295"/>
      <c r="P218" s="295"/>
      <c r="Q218" s="295"/>
      <c r="R218" s="295"/>
      <c r="S218" s="295"/>
      <c r="T218" s="295">
        <f t="shared" si="49"/>
        <v>0</v>
      </c>
      <c r="U218" s="295"/>
      <c r="V218" s="295"/>
      <c r="W218" s="295"/>
      <c r="X218" s="295"/>
      <c r="Y218" s="295"/>
      <c r="Z218" s="295"/>
      <c r="AA218" s="295"/>
      <c r="AB218" s="210">
        <f t="shared" si="55"/>
        <v>0</v>
      </c>
      <c r="AC218" s="210">
        <f t="shared" si="56"/>
        <v>0</v>
      </c>
      <c r="AD218" s="210">
        <f t="shared" si="57"/>
        <v>0</v>
      </c>
      <c r="AE218" s="210">
        <f t="shared" si="58"/>
        <v>0</v>
      </c>
      <c r="AF218" s="227">
        <f t="shared" si="59"/>
        <v>0.05</v>
      </c>
      <c r="AG218" s="227">
        <f>ROUNDDOWN(SUM(AF$191:AF218)-SUM(AG$191:AG217),0)*$A218</f>
        <v>0</v>
      </c>
      <c r="AH218" s="227">
        <f t="shared" si="60"/>
        <v>0</v>
      </c>
      <c r="AI218" s="210">
        <f t="shared" si="61"/>
        <v>0</v>
      </c>
      <c r="AJ218" s="210">
        <f t="shared" si="62"/>
        <v>0</v>
      </c>
      <c r="AK218" s="210">
        <f t="shared" si="63"/>
        <v>0</v>
      </c>
      <c r="AL218" s="210">
        <f t="shared" si="64"/>
        <v>0</v>
      </c>
      <c r="AM218" s="210">
        <f t="shared" si="65"/>
        <v>0.05</v>
      </c>
      <c r="AN218" s="227">
        <f>ROUNDDOWN(SUM(AM$191:AM218)-SUM(AN$191:AN217),0)*$A218</f>
        <v>0</v>
      </c>
      <c r="AO218" s="227">
        <f t="shared" si="66"/>
        <v>0</v>
      </c>
      <c r="AP218" s="210">
        <f t="shared" si="84"/>
        <v>0.57437455289470041</v>
      </c>
      <c r="AQ218" s="210">
        <f t="shared" si="85"/>
        <v>0.57437455289470041</v>
      </c>
      <c r="AR218" s="210">
        <f t="shared" si="86"/>
        <v>0.57437455289470041</v>
      </c>
      <c r="AS218" s="210">
        <f t="shared" si="87"/>
        <v>0.57437455289470041</v>
      </c>
      <c r="AT218" s="210">
        <f t="shared" si="88"/>
        <v>0.57437455289470041</v>
      </c>
      <c r="AU218" s="227">
        <f t="shared" si="72"/>
        <v>1.7410242061739269</v>
      </c>
      <c r="AV218" s="227">
        <f t="shared" si="79"/>
        <v>1</v>
      </c>
      <c r="AW218" s="227">
        <f t="shared" si="80"/>
        <v>1</v>
      </c>
      <c r="AX218" s="227">
        <f t="shared" si="81"/>
        <v>1</v>
      </c>
      <c r="AY218" s="227">
        <f t="shared" si="82"/>
        <v>1</v>
      </c>
      <c r="AZ218" s="227">
        <f t="shared" si="83"/>
        <v>1</v>
      </c>
      <c r="BB218" s="227"/>
      <c r="BC218" s="227"/>
      <c r="BD218" s="227"/>
      <c r="BE218" s="227"/>
      <c r="BF218" s="227"/>
      <c r="BG218" s="227"/>
      <c r="BH218" s="227"/>
      <c r="BI218" s="227"/>
      <c r="BJ218" s="227"/>
      <c r="BK218" s="227"/>
    </row>
    <row r="219" spans="1:63" x14ac:dyDescent="0.3">
      <c r="A219" s="210">
        <f t="shared" si="73"/>
        <v>0</v>
      </c>
      <c r="B219" s="210">
        <f t="shared" si="74"/>
        <v>0</v>
      </c>
      <c r="C219" s="210">
        <f t="shared" si="41"/>
        <v>0</v>
      </c>
      <c r="D219" s="210">
        <f t="shared" si="75"/>
        <v>0</v>
      </c>
      <c r="E219" s="210">
        <f t="shared" si="42"/>
        <v>0</v>
      </c>
      <c r="F219" s="297">
        <v>29</v>
      </c>
      <c r="G219" s="210">
        <f t="shared" si="76"/>
        <v>30</v>
      </c>
      <c r="I219" s="210">
        <v>25</v>
      </c>
      <c r="J219" s="295"/>
      <c r="K219" s="295">
        <f t="shared" si="77"/>
        <v>0</v>
      </c>
      <c r="L219" s="295"/>
      <c r="M219" s="295"/>
      <c r="N219" s="295"/>
      <c r="O219" s="295"/>
      <c r="P219" s="295"/>
      <c r="Q219" s="295"/>
      <c r="R219" s="295"/>
      <c r="S219" s="295"/>
      <c r="T219" s="295">
        <f t="shared" si="49"/>
        <v>0</v>
      </c>
      <c r="U219" s="295"/>
      <c r="V219" s="295"/>
      <c r="W219" s="295"/>
      <c r="X219" s="295"/>
      <c r="Y219" s="295"/>
      <c r="Z219" s="295"/>
      <c r="AA219" s="295"/>
      <c r="AB219" s="210">
        <f t="shared" si="55"/>
        <v>0</v>
      </c>
      <c r="AC219" s="210">
        <f t="shared" si="56"/>
        <v>0</v>
      </c>
      <c r="AD219" s="210">
        <f t="shared" si="57"/>
        <v>0</v>
      </c>
      <c r="AE219" s="210">
        <f t="shared" si="58"/>
        <v>0</v>
      </c>
      <c r="AF219" s="227">
        <f t="shared" si="59"/>
        <v>0.05</v>
      </c>
      <c r="AG219" s="227">
        <f>ROUNDDOWN(SUM(AF$191:AF219)-SUM(AG$191:AG218),0)*$A219</f>
        <v>0</v>
      </c>
      <c r="AH219" s="227">
        <f t="shared" si="60"/>
        <v>0</v>
      </c>
      <c r="AI219" s="210">
        <f t="shared" si="61"/>
        <v>0</v>
      </c>
      <c r="AJ219" s="210">
        <f t="shared" si="62"/>
        <v>0</v>
      </c>
      <c r="AK219" s="210">
        <f t="shared" si="63"/>
        <v>0</v>
      </c>
      <c r="AL219" s="210">
        <f t="shared" si="64"/>
        <v>0</v>
      </c>
      <c r="AM219" s="210">
        <f t="shared" si="65"/>
        <v>0.05</v>
      </c>
      <c r="AN219" s="227">
        <f>ROUNDDOWN(SUM(AM$191:AM219)-SUM(AN$191:AN218),0)*$A219</f>
        <v>0</v>
      </c>
      <c r="AO219" s="227">
        <f t="shared" si="66"/>
        <v>0</v>
      </c>
      <c r="AP219" s="210">
        <f t="shared" si="84"/>
        <v>0.56311230675951029</v>
      </c>
      <c r="AQ219" s="210">
        <f t="shared" si="85"/>
        <v>0.56311230675951029</v>
      </c>
      <c r="AR219" s="210">
        <f t="shared" si="86"/>
        <v>0.56311230675951029</v>
      </c>
      <c r="AS219" s="210">
        <f t="shared" si="87"/>
        <v>0.56311230675951029</v>
      </c>
      <c r="AT219" s="210">
        <f t="shared" si="88"/>
        <v>0.56311230675951029</v>
      </c>
      <c r="AU219" s="227">
        <f t="shared" si="72"/>
        <v>1.7758446902974052</v>
      </c>
      <c r="AV219" s="227">
        <f t="shared" si="79"/>
        <v>1</v>
      </c>
      <c r="AW219" s="227">
        <f t="shared" si="80"/>
        <v>1</v>
      </c>
      <c r="AX219" s="227">
        <f t="shared" si="81"/>
        <v>1</v>
      </c>
      <c r="AY219" s="227">
        <f t="shared" si="82"/>
        <v>1</v>
      </c>
      <c r="AZ219" s="227">
        <f t="shared" si="83"/>
        <v>1</v>
      </c>
      <c r="BB219" s="227"/>
      <c r="BC219" s="227"/>
      <c r="BD219" s="227"/>
      <c r="BE219" s="227"/>
      <c r="BF219" s="227"/>
      <c r="BG219" s="227"/>
      <c r="BH219" s="227"/>
      <c r="BI219" s="227"/>
      <c r="BJ219" s="227"/>
      <c r="BK219" s="227"/>
    </row>
    <row r="220" spans="1:63" x14ac:dyDescent="0.3">
      <c r="A220" s="210">
        <f t="shared" si="73"/>
        <v>0</v>
      </c>
      <c r="B220" s="210">
        <f t="shared" si="74"/>
        <v>0</v>
      </c>
      <c r="C220" s="210">
        <f t="shared" si="41"/>
        <v>0</v>
      </c>
      <c r="D220" s="210">
        <f t="shared" si="75"/>
        <v>0</v>
      </c>
      <c r="E220" s="210">
        <f t="shared" si="42"/>
        <v>0</v>
      </c>
      <c r="F220" s="297">
        <v>30</v>
      </c>
      <c r="G220" s="210">
        <f t="shared" si="76"/>
        <v>31</v>
      </c>
      <c r="I220" s="210">
        <v>25</v>
      </c>
      <c r="J220" s="295"/>
      <c r="K220" s="295">
        <f t="shared" si="77"/>
        <v>0</v>
      </c>
      <c r="L220" s="295"/>
      <c r="M220" s="295"/>
      <c r="N220" s="295"/>
      <c r="O220" s="295"/>
      <c r="P220" s="295"/>
      <c r="Q220" s="295"/>
      <c r="R220" s="295"/>
      <c r="S220" s="295"/>
      <c r="T220" s="295">
        <f t="shared" si="49"/>
        <v>0</v>
      </c>
      <c r="U220" s="295"/>
      <c r="V220" s="295"/>
      <c r="W220" s="295"/>
      <c r="X220" s="295"/>
      <c r="Y220" s="295"/>
      <c r="Z220" s="295"/>
      <c r="AA220" s="295"/>
      <c r="AB220" s="210">
        <f t="shared" si="55"/>
        <v>0</v>
      </c>
      <c r="AC220" s="210">
        <f t="shared" si="56"/>
        <v>0</v>
      </c>
      <c r="AD220" s="210">
        <f t="shared" si="57"/>
        <v>0</v>
      </c>
      <c r="AE220" s="210">
        <f t="shared" si="58"/>
        <v>0</v>
      </c>
      <c r="AF220" s="227">
        <f t="shared" si="59"/>
        <v>0.05</v>
      </c>
      <c r="AG220" s="227">
        <f>ROUNDDOWN(SUM(AF$191:AF220)-SUM(AG$191:AG219),0)*$A220</f>
        <v>0</v>
      </c>
      <c r="AH220" s="227">
        <f t="shared" si="60"/>
        <v>0</v>
      </c>
      <c r="AI220" s="210">
        <f t="shared" si="61"/>
        <v>0</v>
      </c>
      <c r="AJ220" s="210">
        <f t="shared" si="62"/>
        <v>0</v>
      </c>
      <c r="AK220" s="210">
        <f t="shared" si="63"/>
        <v>0</v>
      </c>
      <c r="AL220" s="210">
        <f t="shared" si="64"/>
        <v>0</v>
      </c>
      <c r="AM220" s="210">
        <f t="shared" si="65"/>
        <v>0.05</v>
      </c>
      <c r="AN220" s="227">
        <f>ROUNDDOWN(SUM(AM$191:AM220)-SUM(AN$191:AN219),0)*$A220</f>
        <v>0</v>
      </c>
      <c r="AO220" s="227">
        <f t="shared" si="66"/>
        <v>0</v>
      </c>
      <c r="AP220" s="210">
        <f t="shared" si="84"/>
        <v>0.55207088897991197</v>
      </c>
      <c r="AQ220" s="210">
        <f t="shared" si="85"/>
        <v>0.55207088897991197</v>
      </c>
      <c r="AR220" s="210">
        <f t="shared" si="86"/>
        <v>0.55207088897991197</v>
      </c>
      <c r="AS220" s="210">
        <f t="shared" si="87"/>
        <v>0.55207088897991197</v>
      </c>
      <c r="AT220" s="210">
        <f t="shared" si="88"/>
        <v>0.55207088897991197</v>
      </c>
      <c r="AU220" s="227">
        <f t="shared" si="72"/>
        <v>1.8113615841033535</v>
      </c>
      <c r="AV220" s="227">
        <f t="shared" si="79"/>
        <v>1</v>
      </c>
      <c r="AW220" s="227">
        <f t="shared" si="80"/>
        <v>1</v>
      </c>
      <c r="AX220" s="227">
        <f t="shared" si="81"/>
        <v>1</v>
      </c>
      <c r="AY220" s="227">
        <f t="shared" si="82"/>
        <v>1</v>
      </c>
      <c r="AZ220" s="227">
        <f t="shared" si="83"/>
        <v>1</v>
      </c>
      <c r="BB220" s="227"/>
      <c r="BC220" s="227"/>
      <c r="BD220" s="227"/>
      <c r="BE220" s="227"/>
      <c r="BF220" s="227"/>
      <c r="BG220" s="227"/>
      <c r="BH220" s="227"/>
      <c r="BI220" s="227"/>
      <c r="BJ220" s="227"/>
      <c r="BK220" s="227"/>
    </row>
    <row r="221" spans="1:63" x14ac:dyDescent="0.3">
      <c r="A221" s="210">
        <f t="shared" si="73"/>
        <v>0</v>
      </c>
      <c r="B221" s="210">
        <f t="shared" si="74"/>
        <v>0</v>
      </c>
      <c r="C221" s="210">
        <f t="shared" si="41"/>
        <v>0</v>
      </c>
      <c r="D221" s="210">
        <f t="shared" si="75"/>
        <v>0</v>
      </c>
      <c r="E221" s="210">
        <f t="shared" si="42"/>
        <v>0</v>
      </c>
      <c r="F221" s="297">
        <v>31</v>
      </c>
      <c r="G221" s="210">
        <f t="shared" si="76"/>
        <v>32</v>
      </c>
      <c r="I221" s="210">
        <v>25</v>
      </c>
      <c r="J221" s="295"/>
      <c r="K221" s="295">
        <f t="shared" si="77"/>
        <v>0</v>
      </c>
      <c r="L221" s="295"/>
      <c r="M221" s="295"/>
      <c r="N221" s="295"/>
      <c r="O221" s="295"/>
      <c r="P221" s="295"/>
      <c r="Q221" s="295"/>
      <c r="R221" s="295"/>
      <c r="S221" s="295"/>
      <c r="T221" s="295">
        <f t="shared" si="49"/>
        <v>0</v>
      </c>
      <c r="U221" s="295"/>
      <c r="V221" s="295"/>
      <c r="W221" s="295"/>
      <c r="X221" s="295"/>
      <c r="Y221" s="295"/>
      <c r="Z221" s="295"/>
      <c r="AA221" s="295"/>
      <c r="AB221" s="210">
        <f t="shared" si="55"/>
        <v>0</v>
      </c>
      <c r="AC221" s="210">
        <f t="shared" si="56"/>
        <v>0</v>
      </c>
      <c r="AD221" s="210">
        <f t="shared" si="57"/>
        <v>0</v>
      </c>
      <c r="AE221" s="210">
        <f t="shared" si="58"/>
        <v>0</v>
      </c>
      <c r="AF221" s="227">
        <f t="shared" si="59"/>
        <v>0.05</v>
      </c>
      <c r="AG221" s="227">
        <f>ROUNDDOWN(SUM(AF$191:AF221)-SUM(AG$191:AG220),0)*$A221</f>
        <v>0</v>
      </c>
      <c r="AH221" s="227">
        <f t="shared" si="60"/>
        <v>0</v>
      </c>
      <c r="AI221" s="210">
        <f t="shared" si="61"/>
        <v>0</v>
      </c>
      <c r="AJ221" s="210">
        <f t="shared" si="62"/>
        <v>0</v>
      </c>
      <c r="AK221" s="210">
        <f t="shared" si="63"/>
        <v>0</v>
      </c>
      <c r="AL221" s="210">
        <f t="shared" si="64"/>
        <v>0</v>
      </c>
      <c r="AM221" s="210">
        <f t="shared" si="65"/>
        <v>0.05</v>
      </c>
      <c r="AN221" s="227">
        <f>ROUNDDOWN(SUM(AM$191:AM221)-SUM(AN$191:AN220),0)*$A221</f>
        <v>0</v>
      </c>
      <c r="AO221" s="227">
        <f t="shared" si="66"/>
        <v>0</v>
      </c>
      <c r="AP221" s="210">
        <f t="shared" si="84"/>
        <v>0.54124596958814919</v>
      </c>
      <c r="AQ221" s="210">
        <f t="shared" si="85"/>
        <v>0.54124596958814919</v>
      </c>
      <c r="AR221" s="210">
        <f t="shared" si="86"/>
        <v>0.54124596958814919</v>
      </c>
      <c r="AS221" s="210">
        <f t="shared" si="87"/>
        <v>0.54124596958814919</v>
      </c>
      <c r="AT221" s="210">
        <f t="shared" si="88"/>
        <v>0.54124596958814919</v>
      </c>
      <c r="AU221" s="227">
        <f t="shared" si="72"/>
        <v>1.8475888157854201</v>
      </c>
      <c r="AV221" s="227">
        <f t="shared" si="79"/>
        <v>1</v>
      </c>
      <c r="AW221" s="227">
        <f t="shared" si="80"/>
        <v>1</v>
      </c>
      <c r="AX221" s="227">
        <f t="shared" si="81"/>
        <v>1</v>
      </c>
      <c r="AY221" s="227">
        <f t="shared" si="82"/>
        <v>1</v>
      </c>
      <c r="AZ221" s="227">
        <f t="shared" si="83"/>
        <v>1</v>
      </c>
      <c r="BB221" s="227"/>
      <c r="BC221" s="227"/>
      <c r="BD221" s="227"/>
      <c r="BE221" s="227"/>
      <c r="BF221" s="227"/>
      <c r="BG221" s="227"/>
      <c r="BH221" s="227"/>
      <c r="BI221" s="227"/>
      <c r="BJ221" s="227"/>
      <c r="BK221" s="227"/>
    </row>
    <row r="222" spans="1:63" x14ac:dyDescent="0.3">
      <c r="A222" s="210">
        <f t="shared" si="73"/>
        <v>0</v>
      </c>
      <c r="B222" s="210">
        <f t="shared" si="74"/>
        <v>0</v>
      </c>
      <c r="C222" s="210">
        <f t="shared" si="41"/>
        <v>0</v>
      </c>
      <c r="D222" s="210">
        <f t="shared" si="75"/>
        <v>0</v>
      </c>
      <c r="E222" s="210">
        <f t="shared" si="42"/>
        <v>0</v>
      </c>
      <c r="F222" s="297">
        <v>32</v>
      </c>
      <c r="G222" s="210">
        <f t="shared" si="76"/>
        <v>33</v>
      </c>
      <c r="I222" s="210">
        <v>25</v>
      </c>
      <c r="J222" s="295"/>
      <c r="K222" s="295">
        <f t="shared" si="77"/>
        <v>0</v>
      </c>
      <c r="L222" s="295"/>
      <c r="M222" s="295"/>
      <c r="N222" s="295"/>
      <c r="O222" s="295"/>
      <c r="P222" s="295"/>
      <c r="Q222" s="295"/>
      <c r="R222" s="295"/>
      <c r="S222" s="295"/>
      <c r="T222" s="295">
        <f t="shared" si="49"/>
        <v>0</v>
      </c>
      <c r="U222" s="295"/>
      <c r="V222" s="295"/>
      <c r="W222" s="295"/>
      <c r="X222" s="295"/>
      <c r="Y222" s="295"/>
      <c r="Z222" s="295"/>
      <c r="AA222" s="295"/>
      <c r="AB222" s="210">
        <f t="shared" si="55"/>
        <v>0</v>
      </c>
      <c r="AC222" s="210">
        <f t="shared" si="56"/>
        <v>0</v>
      </c>
      <c r="AD222" s="210">
        <f t="shared" si="57"/>
        <v>0</v>
      </c>
      <c r="AE222" s="210">
        <f t="shared" si="58"/>
        <v>0</v>
      </c>
      <c r="AF222" s="227">
        <f t="shared" si="59"/>
        <v>0.05</v>
      </c>
      <c r="AG222" s="227">
        <f>ROUNDDOWN(SUM(AF$191:AF222)-SUM(AG$191:AG221),0)*$A222</f>
        <v>0</v>
      </c>
      <c r="AH222" s="227">
        <f t="shared" si="60"/>
        <v>0</v>
      </c>
      <c r="AI222" s="210">
        <f t="shared" si="61"/>
        <v>0</v>
      </c>
      <c r="AJ222" s="210">
        <f t="shared" si="62"/>
        <v>0</v>
      </c>
      <c r="AK222" s="210">
        <f t="shared" si="63"/>
        <v>0</v>
      </c>
      <c r="AL222" s="210">
        <f t="shared" si="64"/>
        <v>0</v>
      </c>
      <c r="AM222" s="210">
        <f t="shared" si="65"/>
        <v>0.05</v>
      </c>
      <c r="AN222" s="227">
        <f>ROUNDDOWN(SUM(AM$191:AM222)-SUM(AN$191:AN221),0)*$A222</f>
        <v>0</v>
      </c>
      <c r="AO222" s="227">
        <f t="shared" si="66"/>
        <v>0</v>
      </c>
      <c r="AP222" s="210">
        <f t="shared" si="84"/>
        <v>0.53063330351779314</v>
      </c>
      <c r="AQ222" s="210">
        <f t="shared" si="85"/>
        <v>0.53063330351779314</v>
      </c>
      <c r="AR222" s="210">
        <f t="shared" si="86"/>
        <v>0.53063330351779314</v>
      </c>
      <c r="AS222" s="210">
        <f t="shared" si="87"/>
        <v>0.53063330351779314</v>
      </c>
      <c r="AT222" s="210">
        <f t="shared" si="88"/>
        <v>0.53063330351779314</v>
      </c>
      <c r="AU222" s="227">
        <f t="shared" si="72"/>
        <v>1.8845405921011289</v>
      </c>
      <c r="AV222" s="227">
        <f t="shared" si="79"/>
        <v>1</v>
      </c>
      <c r="AW222" s="227">
        <f t="shared" si="80"/>
        <v>1</v>
      </c>
      <c r="AX222" s="227">
        <f t="shared" si="81"/>
        <v>1</v>
      </c>
      <c r="AY222" s="227">
        <f t="shared" si="82"/>
        <v>1</v>
      </c>
      <c r="AZ222" s="227">
        <f t="shared" si="83"/>
        <v>1</v>
      </c>
      <c r="BB222" s="227"/>
      <c r="BC222" s="227"/>
      <c r="BD222" s="227"/>
      <c r="BE222" s="227"/>
      <c r="BF222" s="227"/>
      <c r="BG222" s="227"/>
      <c r="BH222" s="227"/>
      <c r="BI222" s="227"/>
      <c r="BJ222" s="227"/>
      <c r="BK222" s="227"/>
    </row>
    <row r="223" spans="1:63" x14ac:dyDescent="0.3">
      <c r="A223" s="210">
        <f t="shared" si="73"/>
        <v>0</v>
      </c>
      <c r="B223" s="210">
        <f t="shared" si="74"/>
        <v>0</v>
      </c>
      <c r="C223" s="210">
        <f t="shared" ref="C223:C254" si="89">$A223</f>
        <v>0</v>
      </c>
      <c r="D223" s="210">
        <f t="shared" si="75"/>
        <v>0</v>
      </c>
      <c r="E223" s="210">
        <f t="shared" ref="E223:E254" si="90">$A223</f>
        <v>0</v>
      </c>
      <c r="F223" s="297">
        <v>33</v>
      </c>
      <c r="G223" s="210">
        <f t="shared" si="76"/>
        <v>34</v>
      </c>
      <c r="I223" s="210">
        <v>25</v>
      </c>
      <c r="J223" s="295"/>
      <c r="K223" s="295">
        <f t="shared" si="77"/>
        <v>0</v>
      </c>
      <c r="L223" s="295"/>
      <c r="M223" s="295"/>
      <c r="N223" s="295"/>
      <c r="O223" s="295"/>
      <c r="P223" s="295"/>
      <c r="Q223" s="295"/>
      <c r="R223" s="295"/>
      <c r="S223" s="295"/>
      <c r="T223" s="295">
        <f t="shared" si="49"/>
        <v>0</v>
      </c>
      <c r="U223" s="295"/>
      <c r="V223" s="295"/>
      <c r="W223" s="295"/>
      <c r="X223" s="295"/>
      <c r="Y223" s="295"/>
      <c r="Z223" s="295"/>
      <c r="AA223" s="295"/>
      <c r="AB223" s="210">
        <f t="shared" ref="AB223:AB254" si="91">$C223*AP223</f>
        <v>0</v>
      </c>
      <c r="AC223" s="210">
        <f t="shared" ref="AC223:AC254" si="92">$C223*AQ223</f>
        <v>0</v>
      </c>
      <c r="AD223" s="210">
        <f t="shared" ref="AD223:AD254" si="93">$C223*AR223</f>
        <v>0</v>
      </c>
      <c r="AE223" s="210">
        <f t="shared" ref="AE223:AE254" si="94">$C223*AT223</f>
        <v>0</v>
      </c>
      <c r="AF223" s="227">
        <f t="shared" ref="AF223:AF254" si="95">1/($L$18/$V$5)</f>
        <v>0.05</v>
      </c>
      <c r="AG223" s="227">
        <f>ROUNDDOWN(SUM(AF$191:AF223)-SUM(AG$191:AG222),0)*$A223</f>
        <v>0</v>
      </c>
      <c r="AH223" s="227">
        <f t="shared" ref="AH223:AH254" si="96">AG223*$AS223</f>
        <v>0</v>
      </c>
      <c r="AI223" s="210">
        <f t="shared" ref="AI223:AI254" si="97">$E223*AP223</f>
        <v>0</v>
      </c>
      <c r="AJ223" s="210">
        <f t="shared" ref="AJ223:AJ254" si="98">$E223*AQ223</f>
        <v>0</v>
      </c>
      <c r="AK223" s="210">
        <f t="shared" ref="AK223:AK254" si="99">$E223*AR223</f>
        <v>0</v>
      </c>
      <c r="AL223" s="210">
        <f t="shared" ref="AL223:AL254" si="100">$E223*AT223</f>
        <v>0</v>
      </c>
      <c r="AM223" s="210">
        <f t="shared" ref="AM223:AM254" si="101">1/($N$18/$X$5)</f>
        <v>0.05</v>
      </c>
      <c r="AN223" s="227">
        <f>ROUNDDOWN(SUM(AM$191:AM223)-SUM(AN$191:AN222),0)*$A223</f>
        <v>0</v>
      </c>
      <c r="AO223" s="227">
        <f t="shared" ref="AO223:AO254" si="102">AN223*$AS223</f>
        <v>0</v>
      </c>
      <c r="AP223" s="210">
        <f t="shared" si="84"/>
        <v>0.52022872893901284</v>
      </c>
      <c r="AQ223" s="210">
        <f t="shared" si="85"/>
        <v>0.52022872893901284</v>
      </c>
      <c r="AR223" s="210">
        <f t="shared" si="86"/>
        <v>0.52022872893901284</v>
      </c>
      <c r="AS223" s="210">
        <f t="shared" si="87"/>
        <v>0.52022872893901284</v>
      </c>
      <c r="AT223" s="210">
        <f t="shared" si="88"/>
        <v>0.52022872893901284</v>
      </c>
      <c r="AU223" s="227">
        <f t="shared" ref="AU223:AU254" si="103">(1+$L$6)^$F223</f>
        <v>1.9222314039431516</v>
      </c>
      <c r="AV223" s="227">
        <f t="shared" si="79"/>
        <v>1</v>
      </c>
      <c r="AW223" s="227">
        <f t="shared" si="80"/>
        <v>1</v>
      </c>
      <c r="AX223" s="227">
        <f t="shared" si="81"/>
        <v>1</v>
      </c>
      <c r="AY223" s="227">
        <f t="shared" si="82"/>
        <v>1</v>
      </c>
      <c r="AZ223" s="227">
        <f t="shared" si="83"/>
        <v>1</v>
      </c>
      <c r="BB223" s="227"/>
      <c r="BC223" s="227"/>
      <c r="BD223" s="227"/>
      <c r="BE223" s="227"/>
      <c r="BF223" s="227"/>
      <c r="BG223" s="227"/>
      <c r="BH223" s="227"/>
      <c r="BI223" s="227"/>
      <c r="BJ223" s="227"/>
      <c r="BK223" s="227"/>
    </row>
    <row r="224" spans="1:63" x14ac:dyDescent="0.3">
      <c r="A224" s="210">
        <f t="shared" ref="A224:A255" si="104">IF(($L$59)-$I223&gt;=1,1,IF(($L$59)-$I223&gt;=0,($L$59)-$I223,0))</f>
        <v>0</v>
      </c>
      <c r="B224" s="210">
        <f t="shared" ref="B224:B255" si="105">IF((L$18/V$5)-$I223&gt;=1,1,IF((L$18/V$5)-$I223&gt;=0,(L$18/V$5)-$I223,0))</f>
        <v>0</v>
      </c>
      <c r="C224" s="210">
        <f t="shared" si="89"/>
        <v>0</v>
      </c>
      <c r="D224" s="210">
        <f t="shared" ref="D224:D255" si="106">IF((N$18/X$5)-$I223&gt;=1,1,IF((N$18/X$5)-$I223&gt;=0,(N$18/X$5)-$I223,0))</f>
        <v>0</v>
      </c>
      <c r="E224" s="210">
        <f t="shared" si="90"/>
        <v>0</v>
      </c>
      <c r="F224" s="297">
        <v>34</v>
      </c>
      <c r="G224" s="210">
        <f t="shared" si="76"/>
        <v>35</v>
      </c>
      <c r="I224" s="210">
        <v>25</v>
      </c>
      <c r="J224" s="295"/>
      <c r="K224" s="295">
        <f t="shared" si="77"/>
        <v>0</v>
      </c>
      <c r="L224" s="295"/>
      <c r="M224" s="295"/>
      <c r="N224" s="295"/>
      <c r="O224" s="295"/>
      <c r="P224" s="295"/>
      <c r="Q224" s="295"/>
      <c r="R224" s="295"/>
      <c r="S224" s="295"/>
      <c r="T224" s="295">
        <f t="shared" si="49"/>
        <v>0</v>
      </c>
      <c r="U224" s="295"/>
      <c r="V224" s="295"/>
      <c r="W224" s="295"/>
      <c r="X224" s="295"/>
      <c r="Y224" s="295"/>
      <c r="Z224" s="295"/>
      <c r="AA224" s="295"/>
      <c r="AB224" s="210">
        <f t="shared" si="91"/>
        <v>0</v>
      </c>
      <c r="AC224" s="210">
        <f t="shared" si="92"/>
        <v>0</v>
      </c>
      <c r="AD224" s="210">
        <f t="shared" si="93"/>
        <v>0</v>
      </c>
      <c r="AE224" s="210">
        <f t="shared" si="94"/>
        <v>0</v>
      </c>
      <c r="AF224" s="227">
        <f t="shared" si="95"/>
        <v>0.05</v>
      </c>
      <c r="AG224" s="227">
        <f>ROUNDDOWN(SUM(AF$191:AF224)-SUM(AG$191:AG223),0)*$A224</f>
        <v>0</v>
      </c>
      <c r="AH224" s="227">
        <f t="shared" si="96"/>
        <v>0</v>
      </c>
      <c r="AI224" s="210">
        <f t="shared" si="97"/>
        <v>0</v>
      </c>
      <c r="AJ224" s="210">
        <f t="shared" si="98"/>
        <v>0</v>
      </c>
      <c r="AK224" s="210">
        <f t="shared" si="99"/>
        <v>0</v>
      </c>
      <c r="AL224" s="210">
        <f t="shared" si="100"/>
        <v>0</v>
      </c>
      <c r="AM224" s="210">
        <f t="shared" si="101"/>
        <v>0.05</v>
      </c>
      <c r="AN224" s="227">
        <f>ROUNDDOWN(SUM(AM$191:AM224)-SUM(AN$191:AN223),0)*$A224</f>
        <v>0</v>
      </c>
      <c r="AO224" s="227">
        <f t="shared" si="102"/>
        <v>0</v>
      </c>
      <c r="AP224" s="210">
        <f t="shared" si="84"/>
        <v>0.51002816562648323</v>
      </c>
      <c r="AQ224" s="210">
        <f t="shared" si="85"/>
        <v>0.51002816562648323</v>
      </c>
      <c r="AR224" s="210">
        <f t="shared" si="86"/>
        <v>0.51002816562648323</v>
      </c>
      <c r="AS224" s="210">
        <f t="shared" si="87"/>
        <v>0.51002816562648323</v>
      </c>
      <c r="AT224" s="210">
        <f t="shared" si="88"/>
        <v>0.51002816562648323</v>
      </c>
      <c r="AU224" s="227">
        <f t="shared" si="103"/>
        <v>1.9606760320220145</v>
      </c>
      <c r="AV224" s="227">
        <f t="shared" ref="AV224:AV255" si="107">(1+$Q$6)^$F223</f>
        <v>1</v>
      </c>
      <c r="AW224" s="227">
        <f t="shared" ref="AW224:AW255" si="108">(1+$Q$7)^$F223</f>
        <v>1</v>
      </c>
      <c r="AX224" s="227">
        <f t="shared" ref="AX224:AX255" si="109">(1+$Q$8)^$F223</f>
        <v>1</v>
      </c>
      <c r="AY224" s="227">
        <f t="shared" ref="AY224:AY255" si="110">(1+$N$6)^$F223</f>
        <v>1</v>
      </c>
      <c r="AZ224" s="227">
        <f t="shared" ref="AZ224:AZ255" si="111">(1+$M$6)^$F223</f>
        <v>1</v>
      </c>
      <c r="BB224" s="227"/>
      <c r="BC224" s="227"/>
      <c r="BD224" s="227"/>
      <c r="BE224" s="227"/>
      <c r="BF224" s="227"/>
      <c r="BG224" s="227"/>
      <c r="BH224" s="227"/>
      <c r="BI224" s="227"/>
      <c r="BJ224" s="227"/>
      <c r="BK224" s="227"/>
    </row>
    <row r="225" spans="1:63" x14ac:dyDescent="0.3">
      <c r="A225" s="210">
        <f t="shared" si="104"/>
        <v>0</v>
      </c>
      <c r="B225" s="210">
        <f t="shared" si="105"/>
        <v>0</v>
      </c>
      <c r="C225" s="210">
        <f t="shared" si="89"/>
        <v>0</v>
      </c>
      <c r="D225" s="210">
        <f t="shared" si="106"/>
        <v>0</v>
      </c>
      <c r="E225" s="210">
        <f t="shared" si="90"/>
        <v>0</v>
      </c>
      <c r="F225" s="297">
        <v>35</v>
      </c>
      <c r="G225" s="210">
        <f t="shared" si="76"/>
        <v>36</v>
      </c>
      <c r="I225" s="210">
        <v>25</v>
      </c>
      <c r="J225" s="295"/>
      <c r="K225" s="295">
        <f t="shared" si="77"/>
        <v>0</v>
      </c>
      <c r="L225" s="295"/>
      <c r="M225" s="295"/>
      <c r="N225" s="295"/>
      <c r="O225" s="295"/>
      <c r="P225" s="295"/>
      <c r="Q225" s="295"/>
      <c r="R225" s="295"/>
      <c r="S225" s="295"/>
      <c r="T225" s="295">
        <f t="shared" si="49"/>
        <v>0</v>
      </c>
      <c r="U225" s="295"/>
      <c r="V225" s="295"/>
      <c r="W225" s="295"/>
      <c r="X225" s="295"/>
      <c r="Y225" s="295"/>
      <c r="Z225" s="295"/>
      <c r="AA225" s="295"/>
      <c r="AB225" s="210">
        <f t="shared" si="91"/>
        <v>0</v>
      </c>
      <c r="AC225" s="210">
        <f t="shared" si="92"/>
        <v>0</v>
      </c>
      <c r="AD225" s="210">
        <f t="shared" si="93"/>
        <v>0</v>
      </c>
      <c r="AE225" s="210">
        <f t="shared" si="94"/>
        <v>0</v>
      </c>
      <c r="AF225" s="227">
        <f t="shared" si="95"/>
        <v>0.05</v>
      </c>
      <c r="AG225" s="227">
        <f>ROUNDDOWN(SUM(AF$191:AF225)-SUM(AG$191:AG224),0)*$A225</f>
        <v>0</v>
      </c>
      <c r="AH225" s="227">
        <f t="shared" si="96"/>
        <v>0</v>
      </c>
      <c r="AI225" s="210">
        <f t="shared" si="97"/>
        <v>0</v>
      </c>
      <c r="AJ225" s="210">
        <f t="shared" si="98"/>
        <v>0</v>
      </c>
      <c r="AK225" s="210">
        <f t="shared" si="99"/>
        <v>0</v>
      </c>
      <c r="AL225" s="210">
        <f t="shared" si="100"/>
        <v>0</v>
      </c>
      <c r="AM225" s="210">
        <f t="shared" si="101"/>
        <v>0.05</v>
      </c>
      <c r="AN225" s="227">
        <f>ROUNDDOWN(SUM(AM$191:AM225)-SUM(AN$191:AN224),0)*$A225</f>
        <v>0</v>
      </c>
      <c r="AO225" s="227">
        <f t="shared" si="102"/>
        <v>0</v>
      </c>
      <c r="AP225" s="210">
        <f t="shared" si="84"/>
        <v>0.50002761335929735</v>
      </c>
      <c r="AQ225" s="210">
        <f t="shared" si="85"/>
        <v>0.50002761335929735</v>
      </c>
      <c r="AR225" s="210">
        <f t="shared" si="86"/>
        <v>0.50002761335929735</v>
      </c>
      <c r="AS225" s="210">
        <f t="shared" si="87"/>
        <v>0.50002761335929735</v>
      </c>
      <c r="AT225" s="210">
        <f t="shared" si="88"/>
        <v>0.50002761335929735</v>
      </c>
      <c r="AU225" s="227">
        <f t="shared" si="103"/>
        <v>1.9998895526624547</v>
      </c>
      <c r="AV225" s="227">
        <f t="shared" si="107"/>
        <v>1</v>
      </c>
      <c r="AW225" s="227">
        <f t="shared" si="108"/>
        <v>1</v>
      </c>
      <c r="AX225" s="227">
        <f t="shared" si="109"/>
        <v>1</v>
      </c>
      <c r="AY225" s="227">
        <f t="shared" si="110"/>
        <v>1</v>
      </c>
      <c r="AZ225" s="227">
        <f t="shared" si="111"/>
        <v>1</v>
      </c>
      <c r="BB225" s="227"/>
      <c r="BC225" s="227"/>
      <c r="BD225" s="227"/>
      <c r="BE225" s="227"/>
      <c r="BF225" s="227"/>
      <c r="BG225" s="227"/>
      <c r="BH225" s="227"/>
      <c r="BI225" s="227"/>
      <c r="BJ225" s="227"/>
      <c r="BK225" s="227"/>
    </row>
    <row r="226" spans="1:63" x14ac:dyDescent="0.3">
      <c r="A226" s="210">
        <f t="shared" si="104"/>
        <v>0</v>
      </c>
      <c r="B226" s="210">
        <f t="shared" si="105"/>
        <v>0</v>
      </c>
      <c r="C226" s="210">
        <f t="shared" si="89"/>
        <v>0</v>
      </c>
      <c r="D226" s="210">
        <f t="shared" si="106"/>
        <v>0</v>
      </c>
      <c r="E226" s="210">
        <f t="shared" si="90"/>
        <v>0</v>
      </c>
      <c r="F226" s="297">
        <v>36</v>
      </c>
      <c r="G226" s="210">
        <f t="shared" si="76"/>
        <v>37</v>
      </c>
      <c r="I226" s="210">
        <v>25</v>
      </c>
      <c r="J226" s="295"/>
      <c r="K226" s="295">
        <f t="shared" si="77"/>
        <v>0</v>
      </c>
      <c r="L226" s="295"/>
      <c r="M226" s="295"/>
      <c r="N226" s="295"/>
      <c r="O226" s="295"/>
      <c r="P226" s="295"/>
      <c r="Q226" s="295"/>
      <c r="R226" s="295"/>
      <c r="S226" s="295"/>
      <c r="T226" s="295">
        <f t="shared" si="49"/>
        <v>0</v>
      </c>
      <c r="U226" s="295"/>
      <c r="V226" s="295"/>
      <c r="W226" s="295"/>
      <c r="X226" s="295"/>
      <c r="Y226" s="295"/>
      <c r="Z226" s="295"/>
      <c r="AA226" s="295"/>
      <c r="AB226" s="210">
        <f t="shared" si="91"/>
        <v>0</v>
      </c>
      <c r="AC226" s="210">
        <f t="shared" si="92"/>
        <v>0</v>
      </c>
      <c r="AD226" s="210">
        <f t="shared" si="93"/>
        <v>0</v>
      </c>
      <c r="AE226" s="210">
        <f t="shared" si="94"/>
        <v>0</v>
      </c>
      <c r="AF226" s="227">
        <f t="shared" si="95"/>
        <v>0.05</v>
      </c>
      <c r="AG226" s="227">
        <f>ROUNDDOWN(SUM(AF$191:AF226)-SUM(AG$191:AG225),0)*$A226</f>
        <v>0</v>
      </c>
      <c r="AH226" s="227">
        <f t="shared" si="96"/>
        <v>0</v>
      </c>
      <c r="AI226" s="210">
        <f t="shared" si="97"/>
        <v>0</v>
      </c>
      <c r="AJ226" s="210">
        <f t="shared" si="98"/>
        <v>0</v>
      </c>
      <c r="AK226" s="210">
        <f t="shared" si="99"/>
        <v>0</v>
      </c>
      <c r="AL226" s="210">
        <f t="shared" si="100"/>
        <v>0</v>
      </c>
      <c r="AM226" s="210">
        <f t="shared" si="101"/>
        <v>0.05</v>
      </c>
      <c r="AN226" s="227">
        <f>ROUNDDOWN(SUM(AM$191:AM226)-SUM(AN$191:AN225),0)*$A226</f>
        <v>0</v>
      </c>
      <c r="AO226" s="227">
        <f t="shared" si="102"/>
        <v>0</v>
      </c>
      <c r="AP226" s="210">
        <f t="shared" si="84"/>
        <v>0.49022315035225233</v>
      </c>
      <c r="AQ226" s="210">
        <f t="shared" si="85"/>
        <v>0.49022315035225233</v>
      </c>
      <c r="AR226" s="210">
        <f t="shared" si="86"/>
        <v>0.49022315035225233</v>
      </c>
      <c r="AS226" s="210">
        <f t="shared" si="87"/>
        <v>0.49022315035225233</v>
      </c>
      <c r="AT226" s="210">
        <f t="shared" si="88"/>
        <v>0.49022315035225233</v>
      </c>
      <c r="AU226" s="227">
        <f t="shared" si="103"/>
        <v>2.0398873437157037</v>
      </c>
      <c r="AV226" s="227">
        <f t="shared" si="107"/>
        <v>1</v>
      </c>
      <c r="AW226" s="227">
        <f t="shared" si="108"/>
        <v>1</v>
      </c>
      <c r="AX226" s="227">
        <f t="shared" si="109"/>
        <v>1</v>
      </c>
      <c r="AY226" s="227">
        <f t="shared" si="110"/>
        <v>1</v>
      </c>
      <c r="AZ226" s="227">
        <f t="shared" si="111"/>
        <v>1</v>
      </c>
      <c r="BB226" s="227"/>
      <c r="BC226" s="227"/>
      <c r="BD226" s="227"/>
      <c r="BE226" s="227"/>
      <c r="BF226" s="227"/>
      <c r="BG226" s="227"/>
      <c r="BH226" s="227"/>
      <c r="BI226" s="227"/>
      <c r="BJ226" s="227"/>
      <c r="BK226" s="227"/>
    </row>
    <row r="227" spans="1:63" x14ac:dyDescent="0.3">
      <c r="A227" s="210">
        <f t="shared" si="104"/>
        <v>0</v>
      </c>
      <c r="B227" s="210">
        <f t="shared" si="105"/>
        <v>0</v>
      </c>
      <c r="C227" s="210">
        <f t="shared" si="89"/>
        <v>0</v>
      </c>
      <c r="D227" s="210">
        <f t="shared" si="106"/>
        <v>0</v>
      </c>
      <c r="E227" s="210">
        <f t="shared" si="90"/>
        <v>0</v>
      </c>
      <c r="F227" s="297">
        <v>37</v>
      </c>
      <c r="G227" s="210">
        <f t="shared" si="76"/>
        <v>38</v>
      </c>
      <c r="I227" s="210">
        <v>25</v>
      </c>
      <c r="J227" s="295"/>
      <c r="K227" s="295">
        <f t="shared" si="77"/>
        <v>0</v>
      </c>
      <c r="L227" s="295"/>
      <c r="M227" s="295"/>
      <c r="N227" s="295"/>
      <c r="O227" s="295"/>
      <c r="P227" s="295"/>
      <c r="Q227" s="295"/>
      <c r="R227" s="295"/>
      <c r="S227" s="295"/>
      <c r="T227" s="295">
        <f t="shared" si="49"/>
        <v>0</v>
      </c>
      <c r="U227" s="295"/>
      <c r="V227" s="295"/>
      <c r="W227" s="295"/>
      <c r="X227" s="295"/>
      <c r="Y227" s="295"/>
      <c r="Z227" s="295"/>
      <c r="AA227" s="295"/>
      <c r="AB227" s="210">
        <f t="shared" si="91"/>
        <v>0</v>
      </c>
      <c r="AC227" s="210">
        <f t="shared" si="92"/>
        <v>0</v>
      </c>
      <c r="AD227" s="210">
        <f t="shared" si="93"/>
        <v>0</v>
      </c>
      <c r="AE227" s="210">
        <f t="shared" si="94"/>
        <v>0</v>
      </c>
      <c r="AF227" s="227">
        <f t="shared" si="95"/>
        <v>0.05</v>
      </c>
      <c r="AG227" s="227">
        <f>ROUNDDOWN(SUM(AF$191:AF227)-SUM(AG$191:AG226),0)*$A227</f>
        <v>0</v>
      </c>
      <c r="AH227" s="227">
        <f t="shared" si="96"/>
        <v>0</v>
      </c>
      <c r="AI227" s="210">
        <f t="shared" si="97"/>
        <v>0</v>
      </c>
      <c r="AJ227" s="210">
        <f t="shared" si="98"/>
        <v>0</v>
      </c>
      <c r="AK227" s="210">
        <f t="shared" si="99"/>
        <v>0</v>
      </c>
      <c r="AL227" s="210">
        <f t="shared" si="100"/>
        <v>0</v>
      </c>
      <c r="AM227" s="210">
        <f t="shared" si="101"/>
        <v>0.05</v>
      </c>
      <c r="AN227" s="227">
        <f>ROUNDDOWN(SUM(AM$191:AM227)-SUM(AN$191:AN226),0)*$A227</f>
        <v>0</v>
      </c>
      <c r="AO227" s="227">
        <f t="shared" si="102"/>
        <v>0</v>
      </c>
      <c r="AP227" s="210">
        <f t="shared" si="84"/>
        <v>0.48061093171789437</v>
      </c>
      <c r="AQ227" s="210">
        <f t="shared" si="85"/>
        <v>0.48061093171789437</v>
      </c>
      <c r="AR227" s="210">
        <f t="shared" si="86"/>
        <v>0.48061093171789437</v>
      </c>
      <c r="AS227" s="210">
        <f t="shared" si="87"/>
        <v>0.48061093171789437</v>
      </c>
      <c r="AT227" s="210">
        <f t="shared" si="88"/>
        <v>0.48061093171789437</v>
      </c>
      <c r="AU227" s="227">
        <f t="shared" si="103"/>
        <v>2.080685090590018</v>
      </c>
      <c r="AV227" s="227">
        <f t="shared" si="107"/>
        <v>1</v>
      </c>
      <c r="AW227" s="227">
        <f t="shared" si="108"/>
        <v>1</v>
      </c>
      <c r="AX227" s="227">
        <f t="shared" si="109"/>
        <v>1</v>
      </c>
      <c r="AY227" s="227">
        <f t="shared" si="110"/>
        <v>1</v>
      </c>
      <c r="AZ227" s="227">
        <f t="shared" si="111"/>
        <v>1</v>
      </c>
      <c r="BB227" s="227"/>
      <c r="BC227" s="227"/>
      <c r="BD227" s="227"/>
      <c r="BE227" s="227"/>
      <c r="BF227" s="227"/>
      <c r="BG227" s="227"/>
      <c r="BH227" s="227"/>
      <c r="BI227" s="227"/>
      <c r="BJ227" s="227"/>
      <c r="BK227" s="227"/>
    </row>
    <row r="228" spans="1:63" x14ac:dyDescent="0.3">
      <c r="A228" s="210">
        <f t="shared" si="104"/>
        <v>0</v>
      </c>
      <c r="B228" s="210">
        <f t="shared" si="105"/>
        <v>0</v>
      </c>
      <c r="C228" s="210">
        <f t="shared" si="89"/>
        <v>0</v>
      </c>
      <c r="D228" s="210">
        <f t="shared" si="106"/>
        <v>0</v>
      </c>
      <c r="E228" s="210">
        <f t="shared" si="90"/>
        <v>0</v>
      </c>
      <c r="F228" s="297">
        <v>38</v>
      </c>
      <c r="G228" s="210">
        <f t="shared" si="76"/>
        <v>39</v>
      </c>
      <c r="I228" s="210">
        <v>25</v>
      </c>
      <c r="J228" s="295"/>
      <c r="K228" s="295">
        <f t="shared" si="77"/>
        <v>0</v>
      </c>
      <c r="L228" s="295"/>
      <c r="M228" s="295"/>
      <c r="N228" s="295"/>
      <c r="O228" s="295"/>
      <c r="P228" s="295"/>
      <c r="Q228" s="295"/>
      <c r="R228" s="295"/>
      <c r="S228" s="295"/>
      <c r="T228" s="295">
        <f t="shared" si="49"/>
        <v>0</v>
      </c>
      <c r="U228" s="295"/>
      <c r="V228" s="295"/>
      <c r="W228" s="295"/>
      <c r="X228" s="295"/>
      <c r="Y228" s="295"/>
      <c r="Z228" s="295"/>
      <c r="AA228" s="295"/>
      <c r="AB228" s="210">
        <f t="shared" si="91"/>
        <v>0</v>
      </c>
      <c r="AC228" s="210">
        <f t="shared" si="92"/>
        <v>0</v>
      </c>
      <c r="AD228" s="210">
        <f t="shared" si="93"/>
        <v>0</v>
      </c>
      <c r="AE228" s="210">
        <f t="shared" si="94"/>
        <v>0</v>
      </c>
      <c r="AF228" s="227">
        <f t="shared" si="95"/>
        <v>0.05</v>
      </c>
      <c r="AG228" s="227">
        <f>ROUNDDOWN(SUM(AF$191:AF228)-SUM(AG$191:AG227),0)*$A228</f>
        <v>0</v>
      </c>
      <c r="AH228" s="227">
        <f t="shared" si="96"/>
        <v>0</v>
      </c>
      <c r="AI228" s="210">
        <f t="shared" si="97"/>
        <v>0</v>
      </c>
      <c r="AJ228" s="210">
        <f t="shared" si="98"/>
        <v>0</v>
      </c>
      <c r="AK228" s="210">
        <f t="shared" si="99"/>
        <v>0</v>
      </c>
      <c r="AL228" s="210">
        <f t="shared" si="100"/>
        <v>0</v>
      </c>
      <c r="AM228" s="210">
        <f t="shared" si="101"/>
        <v>0.05</v>
      </c>
      <c r="AN228" s="227">
        <f>ROUNDDOWN(SUM(AM$191:AM228)-SUM(AN$191:AN227),0)*$A228</f>
        <v>0</v>
      </c>
      <c r="AO228" s="227">
        <f t="shared" si="102"/>
        <v>0</v>
      </c>
      <c r="AP228" s="210">
        <f t="shared" si="84"/>
        <v>0.47118718795871989</v>
      </c>
      <c r="AQ228" s="210">
        <f t="shared" si="85"/>
        <v>0.47118718795871989</v>
      </c>
      <c r="AR228" s="210">
        <f t="shared" si="86"/>
        <v>0.47118718795871989</v>
      </c>
      <c r="AS228" s="210">
        <f t="shared" si="87"/>
        <v>0.47118718795871989</v>
      </c>
      <c r="AT228" s="210">
        <f t="shared" si="88"/>
        <v>0.47118718795871989</v>
      </c>
      <c r="AU228" s="227">
        <f t="shared" si="103"/>
        <v>2.1222987924018186</v>
      </c>
      <c r="AV228" s="227">
        <f t="shared" si="107"/>
        <v>1</v>
      </c>
      <c r="AW228" s="227">
        <f t="shared" si="108"/>
        <v>1</v>
      </c>
      <c r="AX228" s="227">
        <f t="shared" si="109"/>
        <v>1</v>
      </c>
      <c r="AY228" s="227">
        <f t="shared" si="110"/>
        <v>1</v>
      </c>
      <c r="AZ228" s="227">
        <f t="shared" si="111"/>
        <v>1</v>
      </c>
      <c r="BB228" s="227"/>
      <c r="BC228" s="227"/>
      <c r="BD228" s="227"/>
      <c r="BE228" s="227"/>
      <c r="BF228" s="227"/>
      <c r="BG228" s="227"/>
      <c r="BH228" s="227"/>
      <c r="BI228" s="227"/>
      <c r="BJ228" s="227"/>
      <c r="BK228" s="227"/>
    </row>
    <row r="229" spans="1:63" x14ac:dyDescent="0.3">
      <c r="A229" s="210">
        <f t="shared" si="104"/>
        <v>0</v>
      </c>
      <c r="B229" s="210">
        <f t="shared" si="105"/>
        <v>0</v>
      </c>
      <c r="C229" s="210">
        <f t="shared" si="89"/>
        <v>0</v>
      </c>
      <c r="D229" s="210">
        <f t="shared" si="106"/>
        <v>0</v>
      </c>
      <c r="E229" s="210">
        <f t="shared" si="90"/>
        <v>0</v>
      </c>
      <c r="F229" s="297">
        <v>39</v>
      </c>
      <c r="G229" s="210">
        <f t="shared" si="76"/>
        <v>40</v>
      </c>
      <c r="I229" s="210">
        <v>25</v>
      </c>
      <c r="J229" s="295"/>
      <c r="K229" s="295">
        <f t="shared" si="77"/>
        <v>0</v>
      </c>
      <c r="L229" s="295"/>
      <c r="M229" s="295"/>
      <c r="N229" s="295"/>
      <c r="O229" s="295"/>
      <c r="P229" s="295"/>
      <c r="Q229" s="295"/>
      <c r="R229" s="295"/>
      <c r="S229" s="295"/>
      <c r="T229" s="295">
        <f t="shared" si="49"/>
        <v>0</v>
      </c>
      <c r="U229" s="295"/>
      <c r="V229" s="295"/>
      <c r="W229" s="295"/>
      <c r="X229" s="295"/>
      <c r="Y229" s="295"/>
      <c r="Z229" s="295"/>
      <c r="AA229" s="295"/>
      <c r="AB229" s="210">
        <f t="shared" si="91"/>
        <v>0</v>
      </c>
      <c r="AC229" s="210">
        <f t="shared" si="92"/>
        <v>0</v>
      </c>
      <c r="AD229" s="210">
        <f t="shared" si="93"/>
        <v>0</v>
      </c>
      <c r="AE229" s="210">
        <f t="shared" si="94"/>
        <v>0</v>
      </c>
      <c r="AF229" s="227">
        <f t="shared" si="95"/>
        <v>0.05</v>
      </c>
      <c r="AG229" s="227">
        <f>ROUNDDOWN(SUM(AF$191:AF229)-SUM(AG$191:AG228),0)*$A229</f>
        <v>0</v>
      </c>
      <c r="AH229" s="227">
        <f t="shared" si="96"/>
        <v>0</v>
      </c>
      <c r="AI229" s="210">
        <f t="shared" si="97"/>
        <v>0</v>
      </c>
      <c r="AJ229" s="210">
        <f t="shared" si="98"/>
        <v>0</v>
      </c>
      <c r="AK229" s="210">
        <f t="shared" si="99"/>
        <v>0</v>
      </c>
      <c r="AL229" s="210">
        <f t="shared" si="100"/>
        <v>0</v>
      </c>
      <c r="AM229" s="210">
        <f t="shared" si="101"/>
        <v>0.05</v>
      </c>
      <c r="AN229" s="227">
        <f>ROUNDDOWN(SUM(AM$191:AM229)-SUM(AN$191:AN228),0)*$A229</f>
        <v>0</v>
      </c>
      <c r="AO229" s="227">
        <f t="shared" si="102"/>
        <v>0</v>
      </c>
      <c r="AP229" s="210">
        <f t="shared" si="84"/>
        <v>0.46194822348894127</v>
      </c>
      <c r="AQ229" s="210">
        <f t="shared" si="85"/>
        <v>0.46194822348894127</v>
      </c>
      <c r="AR229" s="210">
        <f t="shared" si="86"/>
        <v>0.46194822348894127</v>
      </c>
      <c r="AS229" s="210">
        <f t="shared" si="87"/>
        <v>0.46194822348894127</v>
      </c>
      <c r="AT229" s="210">
        <f t="shared" si="88"/>
        <v>0.46194822348894127</v>
      </c>
      <c r="AU229" s="227">
        <f t="shared" si="103"/>
        <v>2.1647447682498542</v>
      </c>
      <c r="AV229" s="227">
        <f t="shared" si="107"/>
        <v>1</v>
      </c>
      <c r="AW229" s="227">
        <f t="shared" si="108"/>
        <v>1</v>
      </c>
      <c r="AX229" s="227">
        <f t="shared" si="109"/>
        <v>1</v>
      </c>
      <c r="AY229" s="227">
        <f t="shared" si="110"/>
        <v>1</v>
      </c>
      <c r="AZ229" s="227">
        <f t="shared" si="111"/>
        <v>1</v>
      </c>
      <c r="BB229" s="227"/>
      <c r="BC229" s="227"/>
      <c r="BD229" s="227"/>
      <c r="BE229" s="227"/>
      <c r="BF229" s="227"/>
      <c r="BG229" s="227"/>
      <c r="BH229" s="227"/>
      <c r="BI229" s="227"/>
      <c r="BJ229" s="227"/>
      <c r="BK229" s="227"/>
    </row>
    <row r="230" spans="1:63" x14ac:dyDescent="0.3">
      <c r="A230" s="210">
        <f t="shared" si="104"/>
        <v>0</v>
      </c>
      <c r="B230" s="210">
        <f t="shared" si="105"/>
        <v>0</v>
      </c>
      <c r="C230" s="210">
        <f t="shared" si="89"/>
        <v>0</v>
      </c>
      <c r="D230" s="210">
        <f t="shared" si="106"/>
        <v>0</v>
      </c>
      <c r="E230" s="210">
        <f t="shared" si="90"/>
        <v>0</v>
      </c>
      <c r="F230" s="297">
        <v>40</v>
      </c>
      <c r="G230" s="210">
        <f t="shared" si="76"/>
        <v>41</v>
      </c>
      <c r="I230" s="210">
        <v>25</v>
      </c>
      <c r="J230" s="295"/>
      <c r="K230" s="295">
        <f t="shared" si="77"/>
        <v>0</v>
      </c>
      <c r="L230" s="295"/>
      <c r="M230" s="295"/>
      <c r="N230" s="295"/>
      <c r="O230" s="295"/>
      <c r="P230" s="295"/>
      <c r="Q230" s="295"/>
      <c r="R230" s="295"/>
      <c r="S230" s="295"/>
      <c r="T230" s="295">
        <f t="shared" si="49"/>
        <v>0</v>
      </c>
      <c r="U230" s="295"/>
      <c r="V230" s="295"/>
      <c r="W230" s="295"/>
      <c r="X230" s="295"/>
      <c r="Y230" s="295"/>
      <c r="Z230" s="295"/>
      <c r="AA230" s="295"/>
      <c r="AB230" s="210">
        <f t="shared" si="91"/>
        <v>0</v>
      </c>
      <c r="AC230" s="210">
        <f t="shared" si="92"/>
        <v>0</v>
      </c>
      <c r="AD230" s="210">
        <f t="shared" si="93"/>
        <v>0</v>
      </c>
      <c r="AE230" s="210">
        <f t="shared" si="94"/>
        <v>0</v>
      </c>
      <c r="AF230" s="227">
        <f t="shared" si="95"/>
        <v>0.05</v>
      </c>
      <c r="AG230" s="227">
        <f>ROUNDDOWN(SUM(AF$191:AF230)-SUM(AG$191:AG229),0)*$A230</f>
        <v>0</v>
      </c>
      <c r="AH230" s="227">
        <f t="shared" si="96"/>
        <v>0</v>
      </c>
      <c r="AI230" s="210">
        <f t="shared" si="97"/>
        <v>0</v>
      </c>
      <c r="AJ230" s="210">
        <f t="shared" si="98"/>
        <v>0</v>
      </c>
      <c r="AK230" s="210">
        <f t="shared" si="99"/>
        <v>0</v>
      </c>
      <c r="AL230" s="210">
        <f t="shared" si="100"/>
        <v>0</v>
      </c>
      <c r="AM230" s="210">
        <f t="shared" si="101"/>
        <v>0.05</v>
      </c>
      <c r="AN230" s="227">
        <f>ROUNDDOWN(SUM(AM$191:AM230)-SUM(AN$191:AN229),0)*$A230</f>
        <v>0</v>
      </c>
      <c r="AO230" s="227">
        <f t="shared" si="102"/>
        <v>0</v>
      </c>
      <c r="AP230" s="210">
        <f t="shared" si="84"/>
        <v>0.45289041518523643</v>
      </c>
      <c r="AQ230" s="210">
        <f t="shared" si="85"/>
        <v>0.45289041518523643</v>
      </c>
      <c r="AR230" s="210">
        <f t="shared" si="86"/>
        <v>0.45289041518523643</v>
      </c>
      <c r="AS230" s="210">
        <f t="shared" si="87"/>
        <v>0.45289041518523643</v>
      </c>
      <c r="AT230" s="210">
        <f t="shared" si="88"/>
        <v>0.45289041518523643</v>
      </c>
      <c r="AU230" s="227">
        <f t="shared" si="103"/>
        <v>2.2080396636148518</v>
      </c>
      <c r="AV230" s="227">
        <f t="shared" si="107"/>
        <v>1</v>
      </c>
      <c r="AW230" s="227">
        <f t="shared" si="108"/>
        <v>1</v>
      </c>
      <c r="AX230" s="227">
        <f t="shared" si="109"/>
        <v>1</v>
      </c>
      <c r="AY230" s="227">
        <f t="shared" si="110"/>
        <v>1</v>
      </c>
      <c r="AZ230" s="227">
        <f t="shared" si="111"/>
        <v>1</v>
      </c>
      <c r="BB230" s="227"/>
      <c r="BC230" s="227"/>
      <c r="BD230" s="227"/>
      <c r="BE230" s="227"/>
      <c r="BF230" s="227"/>
      <c r="BG230" s="227"/>
      <c r="BH230" s="227"/>
      <c r="BI230" s="227"/>
      <c r="BJ230" s="227"/>
      <c r="BK230" s="227"/>
    </row>
    <row r="231" spans="1:63" x14ac:dyDescent="0.3">
      <c r="A231" s="210">
        <f t="shared" si="104"/>
        <v>0</v>
      </c>
      <c r="B231" s="210">
        <f t="shared" si="105"/>
        <v>0</v>
      </c>
      <c r="C231" s="210">
        <f t="shared" si="89"/>
        <v>0</v>
      </c>
      <c r="D231" s="210">
        <f t="shared" si="106"/>
        <v>0</v>
      </c>
      <c r="E231" s="210">
        <f t="shared" si="90"/>
        <v>0</v>
      </c>
      <c r="F231" s="297">
        <v>41</v>
      </c>
      <c r="G231" s="210">
        <f t="shared" si="76"/>
        <v>42</v>
      </c>
      <c r="I231" s="210">
        <v>25</v>
      </c>
      <c r="J231" s="295"/>
      <c r="K231" s="295">
        <f t="shared" si="77"/>
        <v>0</v>
      </c>
      <c r="L231" s="295"/>
      <c r="M231" s="295"/>
      <c r="N231" s="295"/>
      <c r="O231" s="295"/>
      <c r="P231" s="295"/>
      <c r="Q231" s="295"/>
      <c r="R231" s="295"/>
      <c r="S231" s="295"/>
      <c r="T231" s="295">
        <f t="shared" si="49"/>
        <v>0</v>
      </c>
      <c r="U231" s="295"/>
      <c r="V231" s="295"/>
      <c r="W231" s="295"/>
      <c r="X231" s="295"/>
      <c r="Y231" s="295"/>
      <c r="Z231" s="295"/>
      <c r="AA231" s="295"/>
      <c r="AB231" s="210">
        <f t="shared" si="91"/>
        <v>0</v>
      </c>
      <c r="AC231" s="210">
        <f t="shared" si="92"/>
        <v>0</v>
      </c>
      <c r="AD231" s="210">
        <f t="shared" si="93"/>
        <v>0</v>
      </c>
      <c r="AE231" s="210">
        <f t="shared" si="94"/>
        <v>0</v>
      </c>
      <c r="AF231" s="227">
        <f t="shared" si="95"/>
        <v>0.05</v>
      </c>
      <c r="AG231" s="227">
        <f>ROUNDDOWN(SUM(AF$191:AF231)-SUM(AG$191:AG230),0)*$A231</f>
        <v>0</v>
      </c>
      <c r="AH231" s="227">
        <f t="shared" si="96"/>
        <v>0</v>
      </c>
      <c r="AI231" s="210">
        <f t="shared" si="97"/>
        <v>0</v>
      </c>
      <c r="AJ231" s="210">
        <f t="shared" si="98"/>
        <v>0</v>
      </c>
      <c r="AK231" s="210">
        <f t="shared" si="99"/>
        <v>0</v>
      </c>
      <c r="AL231" s="210">
        <f t="shared" si="100"/>
        <v>0</v>
      </c>
      <c r="AM231" s="210">
        <f t="shared" si="101"/>
        <v>0.05</v>
      </c>
      <c r="AN231" s="227">
        <f>ROUNDDOWN(SUM(AM$191:AM231)-SUM(AN$191:AN230),0)*$A231</f>
        <v>0</v>
      </c>
      <c r="AO231" s="227">
        <f t="shared" si="102"/>
        <v>0</v>
      </c>
      <c r="AP231" s="210">
        <f t="shared" si="84"/>
        <v>0.44401021096591808</v>
      </c>
      <c r="AQ231" s="210">
        <f t="shared" si="85"/>
        <v>0.44401021096591808</v>
      </c>
      <c r="AR231" s="210">
        <f t="shared" si="86"/>
        <v>0.44401021096591808</v>
      </c>
      <c r="AS231" s="210">
        <f t="shared" si="87"/>
        <v>0.44401021096591808</v>
      </c>
      <c r="AT231" s="210">
        <f t="shared" si="88"/>
        <v>0.44401021096591808</v>
      </c>
      <c r="AU231" s="227">
        <f t="shared" si="103"/>
        <v>2.2522004568871488</v>
      </c>
      <c r="AV231" s="227">
        <f t="shared" si="107"/>
        <v>1</v>
      </c>
      <c r="AW231" s="227">
        <f t="shared" si="108"/>
        <v>1</v>
      </c>
      <c r="AX231" s="227">
        <f t="shared" si="109"/>
        <v>1</v>
      </c>
      <c r="AY231" s="227">
        <f t="shared" si="110"/>
        <v>1</v>
      </c>
      <c r="AZ231" s="227">
        <f t="shared" si="111"/>
        <v>1</v>
      </c>
      <c r="BB231" s="227"/>
      <c r="BC231" s="227"/>
      <c r="BD231" s="227"/>
      <c r="BE231" s="227"/>
      <c r="BF231" s="227"/>
      <c r="BG231" s="227"/>
      <c r="BH231" s="227"/>
      <c r="BI231" s="227"/>
      <c r="BJ231" s="227"/>
      <c r="BK231" s="227"/>
    </row>
    <row r="232" spans="1:63" x14ac:dyDescent="0.3">
      <c r="A232" s="210">
        <f t="shared" si="104"/>
        <v>0</v>
      </c>
      <c r="B232" s="210">
        <f t="shared" si="105"/>
        <v>0</v>
      </c>
      <c r="C232" s="210">
        <f t="shared" si="89"/>
        <v>0</v>
      </c>
      <c r="D232" s="210">
        <f t="shared" si="106"/>
        <v>0</v>
      </c>
      <c r="E232" s="210">
        <f t="shared" si="90"/>
        <v>0</v>
      </c>
      <c r="F232" s="297">
        <v>42</v>
      </c>
      <c r="G232" s="210">
        <f t="shared" si="76"/>
        <v>43</v>
      </c>
      <c r="I232" s="210">
        <v>25</v>
      </c>
      <c r="J232" s="295"/>
      <c r="K232" s="295">
        <f t="shared" si="77"/>
        <v>0</v>
      </c>
      <c r="L232" s="295"/>
      <c r="M232" s="295"/>
      <c r="N232" s="295"/>
      <c r="O232" s="295"/>
      <c r="P232" s="295"/>
      <c r="Q232" s="295"/>
      <c r="R232" s="295"/>
      <c r="S232" s="295"/>
      <c r="T232" s="295">
        <f t="shared" si="49"/>
        <v>0</v>
      </c>
      <c r="U232" s="295"/>
      <c r="V232" s="295"/>
      <c r="W232" s="295"/>
      <c r="X232" s="295"/>
      <c r="Y232" s="295"/>
      <c r="Z232" s="295"/>
      <c r="AA232" s="295"/>
      <c r="AB232" s="210">
        <f t="shared" si="91"/>
        <v>0</v>
      </c>
      <c r="AC232" s="210">
        <f t="shared" si="92"/>
        <v>0</v>
      </c>
      <c r="AD232" s="210">
        <f t="shared" si="93"/>
        <v>0</v>
      </c>
      <c r="AE232" s="210">
        <f t="shared" si="94"/>
        <v>0</v>
      </c>
      <c r="AF232" s="227">
        <f t="shared" si="95"/>
        <v>0.05</v>
      </c>
      <c r="AG232" s="227">
        <f>ROUNDDOWN(SUM(AF$191:AF232)-SUM(AG$191:AG231),0)*$A232</f>
        <v>0</v>
      </c>
      <c r="AH232" s="227">
        <f t="shared" si="96"/>
        <v>0</v>
      </c>
      <c r="AI232" s="210">
        <f t="shared" si="97"/>
        <v>0</v>
      </c>
      <c r="AJ232" s="210">
        <f t="shared" si="98"/>
        <v>0</v>
      </c>
      <c r="AK232" s="210">
        <f t="shared" si="99"/>
        <v>0</v>
      </c>
      <c r="AL232" s="210">
        <f t="shared" si="100"/>
        <v>0</v>
      </c>
      <c r="AM232" s="210">
        <f t="shared" si="101"/>
        <v>0.05</v>
      </c>
      <c r="AN232" s="227">
        <f>ROUNDDOWN(SUM(AM$191:AM232)-SUM(AN$191:AN231),0)*$A232</f>
        <v>0</v>
      </c>
      <c r="AO232" s="227">
        <f t="shared" si="102"/>
        <v>0</v>
      </c>
      <c r="AP232" s="210">
        <f t="shared" si="84"/>
        <v>0.4353041283979589</v>
      </c>
      <c r="AQ232" s="210">
        <f t="shared" si="85"/>
        <v>0.4353041283979589</v>
      </c>
      <c r="AR232" s="210">
        <f t="shared" si="86"/>
        <v>0.4353041283979589</v>
      </c>
      <c r="AS232" s="210">
        <f t="shared" ref="AS232:AS263" si="112">AY232/$AU232</f>
        <v>0.4353041283979589</v>
      </c>
      <c r="AT232" s="210">
        <f t="shared" ref="AT232:AT263" si="113">AZ232/$AU232</f>
        <v>0.4353041283979589</v>
      </c>
      <c r="AU232" s="227">
        <f t="shared" si="103"/>
        <v>2.2972444660248916</v>
      </c>
      <c r="AV232" s="227">
        <f t="shared" si="107"/>
        <v>1</v>
      </c>
      <c r="AW232" s="227">
        <f t="shared" si="108"/>
        <v>1</v>
      </c>
      <c r="AX232" s="227">
        <f t="shared" si="109"/>
        <v>1</v>
      </c>
      <c r="AY232" s="227">
        <f t="shared" si="110"/>
        <v>1</v>
      </c>
      <c r="AZ232" s="227">
        <f t="shared" si="111"/>
        <v>1</v>
      </c>
      <c r="BB232" s="227"/>
      <c r="BC232" s="227"/>
      <c r="BD232" s="227"/>
      <c r="BE232" s="227"/>
      <c r="BF232" s="227"/>
      <c r="BG232" s="227"/>
      <c r="BH232" s="227"/>
      <c r="BI232" s="227"/>
      <c r="BJ232" s="227"/>
      <c r="BK232" s="227"/>
    </row>
    <row r="233" spans="1:63" x14ac:dyDescent="0.3">
      <c r="A233" s="210">
        <f t="shared" si="104"/>
        <v>0</v>
      </c>
      <c r="B233" s="210">
        <f t="shared" si="105"/>
        <v>0</v>
      </c>
      <c r="C233" s="210">
        <f t="shared" si="89"/>
        <v>0</v>
      </c>
      <c r="D233" s="210">
        <f t="shared" si="106"/>
        <v>0</v>
      </c>
      <c r="E233" s="210">
        <f t="shared" si="90"/>
        <v>0</v>
      </c>
      <c r="F233" s="297">
        <v>43</v>
      </c>
      <c r="G233" s="210">
        <f t="shared" si="76"/>
        <v>44</v>
      </c>
      <c r="I233" s="210">
        <v>25</v>
      </c>
      <c r="J233" s="295"/>
      <c r="K233" s="295">
        <f t="shared" si="77"/>
        <v>0</v>
      </c>
      <c r="L233" s="295"/>
      <c r="M233" s="295"/>
      <c r="N233" s="295"/>
      <c r="O233" s="295"/>
      <c r="P233" s="295"/>
      <c r="Q233" s="295"/>
      <c r="R233" s="295"/>
      <c r="S233" s="295"/>
      <c r="T233" s="295">
        <f t="shared" si="49"/>
        <v>0</v>
      </c>
      <c r="U233" s="295"/>
      <c r="V233" s="295"/>
      <c r="W233" s="295"/>
      <c r="X233" s="295"/>
      <c r="Y233" s="295"/>
      <c r="Z233" s="295"/>
      <c r="AA233" s="295"/>
      <c r="AB233" s="210">
        <f t="shared" si="91"/>
        <v>0</v>
      </c>
      <c r="AC233" s="210">
        <f t="shared" si="92"/>
        <v>0</v>
      </c>
      <c r="AD233" s="210">
        <f t="shared" si="93"/>
        <v>0</v>
      </c>
      <c r="AE233" s="210">
        <f t="shared" si="94"/>
        <v>0</v>
      </c>
      <c r="AF233" s="227">
        <f t="shared" si="95"/>
        <v>0.05</v>
      </c>
      <c r="AG233" s="227">
        <f>ROUNDDOWN(SUM(AF$191:AF233)-SUM(AG$191:AG232),0)*$A233</f>
        <v>0</v>
      </c>
      <c r="AH233" s="227">
        <f t="shared" si="96"/>
        <v>0</v>
      </c>
      <c r="AI233" s="210">
        <f t="shared" si="97"/>
        <v>0</v>
      </c>
      <c r="AJ233" s="210">
        <f t="shared" si="98"/>
        <v>0</v>
      </c>
      <c r="AK233" s="210">
        <f t="shared" si="99"/>
        <v>0</v>
      </c>
      <c r="AL233" s="210">
        <f t="shared" si="100"/>
        <v>0</v>
      </c>
      <c r="AM233" s="210">
        <f t="shared" si="101"/>
        <v>0.05</v>
      </c>
      <c r="AN233" s="227">
        <f>ROUNDDOWN(SUM(AM$191:AM233)-SUM(AN$191:AN232),0)*$A233</f>
        <v>0</v>
      </c>
      <c r="AO233" s="227">
        <f t="shared" si="102"/>
        <v>0</v>
      </c>
      <c r="AP233" s="210">
        <f t="shared" si="84"/>
        <v>0.4267687533313323</v>
      </c>
      <c r="AQ233" s="210">
        <f t="shared" si="85"/>
        <v>0.4267687533313323</v>
      </c>
      <c r="AR233" s="210">
        <f t="shared" si="86"/>
        <v>0.4267687533313323</v>
      </c>
      <c r="AS233" s="210">
        <f t="shared" si="112"/>
        <v>0.4267687533313323</v>
      </c>
      <c r="AT233" s="210">
        <f t="shared" si="113"/>
        <v>0.4267687533313323</v>
      </c>
      <c r="AU233" s="227">
        <f t="shared" si="103"/>
        <v>2.3431893553453893</v>
      </c>
      <c r="AV233" s="227">
        <f t="shared" si="107"/>
        <v>1</v>
      </c>
      <c r="AW233" s="227">
        <f t="shared" si="108"/>
        <v>1</v>
      </c>
      <c r="AX233" s="227">
        <f t="shared" si="109"/>
        <v>1</v>
      </c>
      <c r="AY233" s="227">
        <f t="shared" si="110"/>
        <v>1</v>
      </c>
      <c r="AZ233" s="227">
        <f t="shared" si="111"/>
        <v>1</v>
      </c>
      <c r="BB233" s="227"/>
      <c r="BC233" s="227"/>
      <c r="BD233" s="227"/>
      <c r="BE233" s="227"/>
      <c r="BF233" s="227"/>
      <c r="BG233" s="227"/>
      <c r="BH233" s="227"/>
      <c r="BI233" s="227"/>
      <c r="BJ233" s="227"/>
      <c r="BK233" s="227"/>
    </row>
    <row r="234" spans="1:63" x14ac:dyDescent="0.3">
      <c r="A234" s="210">
        <f t="shared" si="104"/>
        <v>0</v>
      </c>
      <c r="B234" s="210">
        <f t="shared" si="105"/>
        <v>0</v>
      </c>
      <c r="C234" s="210">
        <f t="shared" si="89"/>
        <v>0</v>
      </c>
      <c r="D234" s="210">
        <f t="shared" si="106"/>
        <v>0</v>
      </c>
      <c r="E234" s="210">
        <f t="shared" si="90"/>
        <v>0</v>
      </c>
      <c r="F234" s="297">
        <v>44</v>
      </c>
      <c r="G234" s="210">
        <f t="shared" si="76"/>
        <v>45</v>
      </c>
      <c r="I234" s="210">
        <v>25</v>
      </c>
      <c r="J234" s="295"/>
      <c r="K234" s="295">
        <f t="shared" si="77"/>
        <v>0</v>
      </c>
      <c r="L234" s="295"/>
      <c r="M234" s="295"/>
      <c r="N234" s="295"/>
      <c r="O234" s="295"/>
      <c r="P234" s="295"/>
      <c r="Q234" s="295"/>
      <c r="R234" s="295"/>
      <c r="S234" s="295"/>
      <c r="T234" s="295">
        <f t="shared" si="49"/>
        <v>0</v>
      </c>
      <c r="U234" s="295"/>
      <c r="V234" s="295"/>
      <c r="W234" s="295"/>
      <c r="X234" s="295"/>
      <c r="Y234" s="295"/>
      <c r="Z234" s="295"/>
      <c r="AA234" s="295"/>
      <c r="AB234" s="210">
        <f t="shared" si="91"/>
        <v>0</v>
      </c>
      <c r="AC234" s="210">
        <f t="shared" si="92"/>
        <v>0</v>
      </c>
      <c r="AD234" s="210">
        <f t="shared" si="93"/>
        <v>0</v>
      </c>
      <c r="AE234" s="210">
        <f t="shared" si="94"/>
        <v>0</v>
      </c>
      <c r="AF234" s="227">
        <f t="shared" si="95"/>
        <v>0.05</v>
      </c>
      <c r="AG234" s="227">
        <f>ROUNDDOWN(SUM(AF$191:AF234)-SUM(AG$191:AG233),0)*$A234</f>
        <v>0</v>
      </c>
      <c r="AH234" s="227">
        <f t="shared" si="96"/>
        <v>0</v>
      </c>
      <c r="AI234" s="210">
        <f t="shared" si="97"/>
        <v>0</v>
      </c>
      <c r="AJ234" s="210">
        <f t="shared" si="98"/>
        <v>0</v>
      </c>
      <c r="AK234" s="210">
        <f t="shared" si="99"/>
        <v>0</v>
      </c>
      <c r="AL234" s="210">
        <f t="shared" si="100"/>
        <v>0</v>
      </c>
      <c r="AM234" s="210">
        <f t="shared" si="101"/>
        <v>0.05</v>
      </c>
      <c r="AN234" s="227">
        <f>ROUNDDOWN(SUM(AM$191:AM234)-SUM(AN$191:AN233),0)*$A234</f>
        <v>0</v>
      </c>
      <c r="AO234" s="227">
        <f t="shared" si="102"/>
        <v>0</v>
      </c>
      <c r="AP234" s="210">
        <f t="shared" si="84"/>
        <v>0.41840073856012966</v>
      </c>
      <c r="AQ234" s="210">
        <f t="shared" si="85"/>
        <v>0.41840073856012966</v>
      </c>
      <c r="AR234" s="210">
        <f t="shared" si="86"/>
        <v>0.41840073856012966</v>
      </c>
      <c r="AS234" s="210">
        <f t="shared" si="112"/>
        <v>0.41840073856012966</v>
      </c>
      <c r="AT234" s="210">
        <f t="shared" si="113"/>
        <v>0.41840073856012966</v>
      </c>
      <c r="AU234" s="227">
        <f t="shared" si="103"/>
        <v>2.3900531424522975</v>
      </c>
      <c r="AV234" s="227">
        <f t="shared" si="107"/>
        <v>1</v>
      </c>
      <c r="AW234" s="227">
        <f t="shared" si="108"/>
        <v>1</v>
      </c>
      <c r="AX234" s="227">
        <f t="shared" si="109"/>
        <v>1</v>
      </c>
      <c r="AY234" s="227">
        <f t="shared" si="110"/>
        <v>1</v>
      </c>
      <c r="AZ234" s="227">
        <f t="shared" si="111"/>
        <v>1</v>
      </c>
      <c r="BB234" s="227"/>
      <c r="BC234" s="227"/>
      <c r="BD234" s="227"/>
      <c r="BE234" s="227"/>
      <c r="BF234" s="227"/>
      <c r="BG234" s="227"/>
      <c r="BH234" s="227"/>
      <c r="BI234" s="227"/>
      <c r="BJ234" s="227"/>
      <c r="BK234" s="227"/>
    </row>
    <row r="235" spans="1:63" x14ac:dyDescent="0.3">
      <c r="A235" s="210">
        <f t="shared" si="104"/>
        <v>0</v>
      </c>
      <c r="B235" s="210">
        <f t="shared" si="105"/>
        <v>0</v>
      </c>
      <c r="C235" s="210">
        <f t="shared" si="89"/>
        <v>0</v>
      </c>
      <c r="D235" s="210">
        <f t="shared" si="106"/>
        <v>0</v>
      </c>
      <c r="E235" s="210">
        <f t="shared" si="90"/>
        <v>0</v>
      </c>
      <c r="F235" s="297">
        <v>45</v>
      </c>
      <c r="G235" s="210">
        <f t="shared" si="76"/>
        <v>46</v>
      </c>
      <c r="I235" s="210">
        <v>25</v>
      </c>
      <c r="J235" s="295"/>
      <c r="K235" s="295">
        <f t="shared" si="77"/>
        <v>0</v>
      </c>
      <c r="L235" s="295"/>
      <c r="M235" s="295"/>
      <c r="N235" s="295"/>
      <c r="O235" s="295"/>
      <c r="P235" s="295"/>
      <c r="Q235" s="295"/>
      <c r="R235" s="295"/>
      <c r="S235" s="295"/>
      <c r="T235" s="295">
        <f t="shared" si="49"/>
        <v>0</v>
      </c>
      <c r="U235" s="295"/>
      <c r="V235" s="295"/>
      <c r="W235" s="295"/>
      <c r="X235" s="295"/>
      <c r="Y235" s="295"/>
      <c r="Z235" s="295"/>
      <c r="AA235" s="295"/>
      <c r="AB235" s="210">
        <f t="shared" si="91"/>
        <v>0</v>
      </c>
      <c r="AC235" s="210">
        <f t="shared" si="92"/>
        <v>0</v>
      </c>
      <c r="AD235" s="210">
        <f t="shared" si="93"/>
        <v>0</v>
      </c>
      <c r="AE235" s="210">
        <f t="shared" si="94"/>
        <v>0</v>
      </c>
      <c r="AF235" s="227">
        <f t="shared" si="95"/>
        <v>0.05</v>
      </c>
      <c r="AG235" s="227">
        <f>ROUNDDOWN(SUM(AF$191:AF235)-SUM(AG$191:AG234),0)*$A235</f>
        <v>0</v>
      </c>
      <c r="AH235" s="227">
        <f t="shared" si="96"/>
        <v>0</v>
      </c>
      <c r="AI235" s="210">
        <f t="shared" si="97"/>
        <v>0</v>
      </c>
      <c r="AJ235" s="210">
        <f t="shared" si="98"/>
        <v>0</v>
      </c>
      <c r="AK235" s="210">
        <f t="shared" si="99"/>
        <v>0</v>
      </c>
      <c r="AL235" s="210">
        <f t="shared" si="100"/>
        <v>0</v>
      </c>
      <c r="AM235" s="210">
        <f t="shared" si="101"/>
        <v>0.05</v>
      </c>
      <c r="AN235" s="227">
        <f>ROUNDDOWN(SUM(AM$191:AM235)-SUM(AN$191:AN234),0)*$A235</f>
        <v>0</v>
      </c>
      <c r="AO235" s="227">
        <f t="shared" si="102"/>
        <v>0</v>
      </c>
      <c r="AP235" s="210">
        <f t="shared" si="84"/>
        <v>0.41019680250993107</v>
      </c>
      <c r="AQ235" s="210">
        <f t="shared" si="85"/>
        <v>0.41019680250993107</v>
      </c>
      <c r="AR235" s="210">
        <f t="shared" si="86"/>
        <v>0.41019680250993107</v>
      </c>
      <c r="AS235" s="210">
        <f t="shared" si="112"/>
        <v>0.41019680250993107</v>
      </c>
      <c r="AT235" s="210">
        <f t="shared" si="113"/>
        <v>0.41019680250993107</v>
      </c>
      <c r="AU235" s="227">
        <f t="shared" si="103"/>
        <v>2.4378542053013432</v>
      </c>
      <c r="AV235" s="227">
        <f t="shared" si="107"/>
        <v>1</v>
      </c>
      <c r="AW235" s="227">
        <f t="shared" si="108"/>
        <v>1</v>
      </c>
      <c r="AX235" s="227">
        <f t="shared" si="109"/>
        <v>1</v>
      </c>
      <c r="AY235" s="227">
        <f t="shared" si="110"/>
        <v>1</v>
      </c>
      <c r="AZ235" s="227">
        <f t="shared" si="111"/>
        <v>1</v>
      </c>
      <c r="BB235" s="227"/>
      <c r="BC235" s="227"/>
      <c r="BD235" s="227"/>
      <c r="BE235" s="227"/>
      <c r="BF235" s="227"/>
      <c r="BG235" s="227"/>
      <c r="BH235" s="227"/>
      <c r="BI235" s="227"/>
      <c r="BJ235" s="227"/>
      <c r="BK235" s="227"/>
    </row>
    <row r="236" spans="1:63" x14ac:dyDescent="0.3">
      <c r="A236" s="210">
        <f t="shared" si="104"/>
        <v>0</v>
      </c>
      <c r="B236" s="210">
        <f t="shared" si="105"/>
        <v>0</v>
      </c>
      <c r="C236" s="210">
        <f t="shared" si="89"/>
        <v>0</v>
      </c>
      <c r="D236" s="210">
        <f t="shared" si="106"/>
        <v>0</v>
      </c>
      <c r="E236" s="210">
        <f t="shared" si="90"/>
        <v>0</v>
      </c>
      <c r="F236" s="297">
        <v>46</v>
      </c>
      <c r="G236" s="210">
        <f t="shared" si="76"/>
        <v>47</v>
      </c>
      <c r="I236" s="210">
        <v>25</v>
      </c>
      <c r="J236" s="295"/>
      <c r="K236" s="295">
        <f t="shared" si="77"/>
        <v>0</v>
      </c>
      <c r="L236" s="295"/>
      <c r="M236" s="295"/>
      <c r="N236" s="295"/>
      <c r="O236" s="295"/>
      <c r="P236" s="295"/>
      <c r="Q236" s="295"/>
      <c r="R236" s="295"/>
      <c r="S236" s="295"/>
      <c r="T236" s="295">
        <f t="shared" si="49"/>
        <v>0</v>
      </c>
      <c r="U236" s="295"/>
      <c r="V236" s="295"/>
      <c r="W236" s="295"/>
      <c r="X236" s="295"/>
      <c r="Y236" s="295"/>
      <c r="Z236" s="295"/>
      <c r="AA236" s="295"/>
      <c r="AB236" s="210">
        <f t="shared" si="91"/>
        <v>0</v>
      </c>
      <c r="AC236" s="210">
        <f t="shared" si="92"/>
        <v>0</v>
      </c>
      <c r="AD236" s="210">
        <f t="shared" si="93"/>
        <v>0</v>
      </c>
      <c r="AE236" s="210">
        <f t="shared" si="94"/>
        <v>0</v>
      </c>
      <c r="AF236" s="227">
        <f t="shared" si="95"/>
        <v>0.05</v>
      </c>
      <c r="AG236" s="227">
        <f>ROUNDDOWN(SUM(AF$191:AF236)-SUM(AG$191:AG235),0)*$A236</f>
        <v>0</v>
      </c>
      <c r="AH236" s="227">
        <f t="shared" si="96"/>
        <v>0</v>
      </c>
      <c r="AI236" s="210">
        <f t="shared" si="97"/>
        <v>0</v>
      </c>
      <c r="AJ236" s="210">
        <f t="shared" si="98"/>
        <v>0</v>
      </c>
      <c r="AK236" s="210">
        <f t="shared" si="99"/>
        <v>0</v>
      </c>
      <c r="AL236" s="210">
        <f t="shared" si="100"/>
        <v>0</v>
      </c>
      <c r="AM236" s="210">
        <f t="shared" si="101"/>
        <v>0.05</v>
      </c>
      <c r="AN236" s="227">
        <f>ROUNDDOWN(SUM(AM$191:AM236)-SUM(AN$191:AN235),0)*$A236</f>
        <v>0</v>
      </c>
      <c r="AO236" s="227">
        <f t="shared" si="102"/>
        <v>0</v>
      </c>
      <c r="AP236" s="210">
        <f t="shared" si="84"/>
        <v>0.40215372795091275</v>
      </c>
      <c r="AQ236" s="210">
        <f t="shared" si="85"/>
        <v>0.40215372795091275</v>
      </c>
      <c r="AR236" s="210">
        <f t="shared" si="86"/>
        <v>0.40215372795091275</v>
      </c>
      <c r="AS236" s="210">
        <f t="shared" si="112"/>
        <v>0.40215372795091275</v>
      </c>
      <c r="AT236" s="210">
        <f t="shared" si="113"/>
        <v>0.40215372795091275</v>
      </c>
      <c r="AU236" s="227">
        <f t="shared" si="103"/>
        <v>2.4866112894073704</v>
      </c>
      <c r="AV236" s="227">
        <f t="shared" si="107"/>
        <v>1</v>
      </c>
      <c r="AW236" s="227">
        <f t="shared" si="108"/>
        <v>1</v>
      </c>
      <c r="AX236" s="227">
        <f t="shared" si="109"/>
        <v>1</v>
      </c>
      <c r="AY236" s="227">
        <f t="shared" si="110"/>
        <v>1</v>
      </c>
      <c r="AZ236" s="227">
        <f t="shared" si="111"/>
        <v>1</v>
      </c>
      <c r="BB236" s="227"/>
      <c r="BC236" s="227"/>
      <c r="BD236" s="227"/>
      <c r="BE236" s="227"/>
      <c r="BF236" s="227"/>
      <c r="BG236" s="227"/>
      <c r="BH236" s="227"/>
      <c r="BI236" s="227"/>
      <c r="BJ236" s="227"/>
      <c r="BK236" s="227"/>
    </row>
    <row r="237" spans="1:63" x14ac:dyDescent="0.3">
      <c r="A237" s="210">
        <f t="shared" si="104"/>
        <v>0</v>
      </c>
      <c r="B237" s="210">
        <f t="shared" si="105"/>
        <v>0</v>
      </c>
      <c r="C237" s="210">
        <f t="shared" si="89"/>
        <v>0</v>
      </c>
      <c r="D237" s="210">
        <f t="shared" si="106"/>
        <v>0</v>
      </c>
      <c r="E237" s="210">
        <f t="shared" si="90"/>
        <v>0</v>
      </c>
      <c r="F237" s="297">
        <v>47</v>
      </c>
      <c r="G237" s="210">
        <f t="shared" si="76"/>
        <v>48</v>
      </c>
      <c r="I237" s="210">
        <v>25</v>
      </c>
      <c r="J237" s="295"/>
      <c r="K237" s="295">
        <f t="shared" si="77"/>
        <v>0</v>
      </c>
      <c r="L237" s="295"/>
      <c r="M237" s="295"/>
      <c r="N237" s="295"/>
      <c r="O237" s="295"/>
      <c r="P237" s="295"/>
      <c r="Q237" s="295"/>
      <c r="R237" s="295"/>
      <c r="S237" s="295"/>
      <c r="T237" s="295">
        <f t="shared" si="49"/>
        <v>0</v>
      </c>
      <c r="U237" s="295"/>
      <c r="V237" s="295"/>
      <c r="W237" s="295"/>
      <c r="X237" s="295"/>
      <c r="Y237" s="295"/>
      <c r="Z237" s="295"/>
      <c r="AA237" s="295"/>
      <c r="AB237" s="210">
        <f t="shared" si="91"/>
        <v>0</v>
      </c>
      <c r="AC237" s="210">
        <f t="shared" si="92"/>
        <v>0</v>
      </c>
      <c r="AD237" s="210">
        <f t="shared" si="93"/>
        <v>0</v>
      </c>
      <c r="AE237" s="210">
        <f t="shared" si="94"/>
        <v>0</v>
      </c>
      <c r="AF237" s="227">
        <f t="shared" si="95"/>
        <v>0.05</v>
      </c>
      <c r="AG237" s="227">
        <f>ROUNDDOWN(SUM(AF$191:AF237)-SUM(AG$191:AG236),0)*$A237</f>
        <v>0</v>
      </c>
      <c r="AH237" s="227">
        <f t="shared" si="96"/>
        <v>0</v>
      </c>
      <c r="AI237" s="210">
        <f t="shared" si="97"/>
        <v>0</v>
      </c>
      <c r="AJ237" s="210">
        <f t="shared" si="98"/>
        <v>0</v>
      </c>
      <c r="AK237" s="210">
        <f t="shared" si="99"/>
        <v>0</v>
      </c>
      <c r="AL237" s="210">
        <f t="shared" si="100"/>
        <v>0</v>
      </c>
      <c r="AM237" s="210">
        <f t="shared" si="101"/>
        <v>0.05</v>
      </c>
      <c r="AN237" s="227">
        <f>ROUNDDOWN(SUM(AM$191:AM237)-SUM(AN$191:AN236),0)*$A237</f>
        <v>0</v>
      </c>
      <c r="AO237" s="227">
        <f t="shared" si="102"/>
        <v>0</v>
      </c>
      <c r="AP237" s="210">
        <f t="shared" si="84"/>
        <v>0.39426836073618909</v>
      </c>
      <c r="AQ237" s="210">
        <f t="shared" si="85"/>
        <v>0.39426836073618909</v>
      </c>
      <c r="AR237" s="210">
        <f t="shared" si="86"/>
        <v>0.39426836073618909</v>
      </c>
      <c r="AS237" s="210">
        <f t="shared" si="112"/>
        <v>0.39426836073618909</v>
      </c>
      <c r="AT237" s="210">
        <f t="shared" si="113"/>
        <v>0.39426836073618909</v>
      </c>
      <c r="AU237" s="227">
        <f t="shared" si="103"/>
        <v>2.5363435151955169</v>
      </c>
      <c r="AV237" s="227">
        <f t="shared" si="107"/>
        <v>1</v>
      </c>
      <c r="AW237" s="227">
        <f t="shared" si="108"/>
        <v>1</v>
      </c>
      <c r="AX237" s="227">
        <f t="shared" si="109"/>
        <v>1</v>
      </c>
      <c r="AY237" s="227">
        <f t="shared" si="110"/>
        <v>1</v>
      </c>
      <c r="AZ237" s="227">
        <f t="shared" si="111"/>
        <v>1</v>
      </c>
      <c r="BB237" s="227"/>
      <c r="BC237" s="227"/>
      <c r="BD237" s="227"/>
      <c r="BE237" s="227"/>
      <c r="BF237" s="227"/>
      <c r="BG237" s="227"/>
      <c r="BH237" s="227"/>
      <c r="BI237" s="227"/>
      <c r="BJ237" s="227"/>
      <c r="BK237" s="227"/>
    </row>
    <row r="238" spans="1:63" x14ac:dyDescent="0.3">
      <c r="A238" s="210">
        <f t="shared" si="104"/>
        <v>0</v>
      </c>
      <c r="B238" s="210">
        <f t="shared" si="105"/>
        <v>0</v>
      </c>
      <c r="C238" s="210">
        <f t="shared" si="89"/>
        <v>0</v>
      </c>
      <c r="D238" s="210">
        <f t="shared" si="106"/>
        <v>0</v>
      </c>
      <c r="E238" s="210">
        <f t="shared" si="90"/>
        <v>0</v>
      </c>
      <c r="F238" s="297">
        <v>48</v>
      </c>
      <c r="G238" s="210">
        <f t="shared" si="76"/>
        <v>49</v>
      </c>
      <c r="I238" s="210">
        <v>25</v>
      </c>
      <c r="J238" s="295"/>
      <c r="K238" s="295">
        <f t="shared" si="77"/>
        <v>0</v>
      </c>
      <c r="L238" s="295"/>
      <c r="M238" s="295"/>
      <c r="N238" s="295"/>
      <c r="O238" s="295"/>
      <c r="P238" s="295"/>
      <c r="Q238" s="295"/>
      <c r="R238" s="295"/>
      <c r="S238" s="295"/>
      <c r="T238" s="295">
        <f t="shared" si="49"/>
        <v>0</v>
      </c>
      <c r="U238" s="295"/>
      <c r="V238" s="295"/>
      <c r="W238" s="295"/>
      <c r="X238" s="295"/>
      <c r="Y238" s="295"/>
      <c r="Z238" s="295"/>
      <c r="AA238" s="295"/>
      <c r="AB238" s="210">
        <f t="shared" si="91"/>
        <v>0</v>
      </c>
      <c r="AC238" s="210">
        <f t="shared" si="92"/>
        <v>0</v>
      </c>
      <c r="AD238" s="210">
        <f t="shared" si="93"/>
        <v>0</v>
      </c>
      <c r="AE238" s="210">
        <f t="shared" si="94"/>
        <v>0</v>
      </c>
      <c r="AF238" s="227">
        <f t="shared" si="95"/>
        <v>0.05</v>
      </c>
      <c r="AG238" s="227">
        <f>ROUNDDOWN(SUM(AF$191:AF238)-SUM(AG$191:AG237),0)*$A238</f>
        <v>0</v>
      </c>
      <c r="AH238" s="227">
        <f t="shared" si="96"/>
        <v>0</v>
      </c>
      <c r="AI238" s="210">
        <f t="shared" si="97"/>
        <v>0</v>
      </c>
      <c r="AJ238" s="210">
        <f t="shared" si="98"/>
        <v>0</v>
      </c>
      <c r="AK238" s="210">
        <f t="shared" si="99"/>
        <v>0</v>
      </c>
      <c r="AL238" s="210">
        <f t="shared" si="100"/>
        <v>0</v>
      </c>
      <c r="AM238" s="210">
        <f t="shared" si="101"/>
        <v>0.05</v>
      </c>
      <c r="AN238" s="227">
        <f>ROUNDDOWN(SUM(AM$191:AM238)-SUM(AN$191:AN237),0)*$A238</f>
        <v>0</v>
      </c>
      <c r="AO238" s="227">
        <f t="shared" si="102"/>
        <v>0</v>
      </c>
      <c r="AP238" s="210">
        <f t="shared" si="84"/>
        <v>0.38653760856489122</v>
      </c>
      <c r="AQ238" s="210">
        <f t="shared" si="85"/>
        <v>0.38653760856489122</v>
      </c>
      <c r="AR238" s="210">
        <f t="shared" si="86"/>
        <v>0.38653760856489122</v>
      </c>
      <c r="AS238" s="210">
        <f t="shared" si="112"/>
        <v>0.38653760856489122</v>
      </c>
      <c r="AT238" s="210">
        <f t="shared" si="113"/>
        <v>0.38653760856489122</v>
      </c>
      <c r="AU238" s="227">
        <f t="shared" si="103"/>
        <v>2.5870703854994277</v>
      </c>
      <c r="AV238" s="227">
        <f t="shared" si="107"/>
        <v>1</v>
      </c>
      <c r="AW238" s="227">
        <f t="shared" si="108"/>
        <v>1</v>
      </c>
      <c r="AX238" s="227">
        <f t="shared" si="109"/>
        <v>1</v>
      </c>
      <c r="AY238" s="227">
        <f t="shared" si="110"/>
        <v>1</v>
      </c>
      <c r="AZ238" s="227">
        <f t="shared" si="111"/>
        <v>1</v>
      </c>
      <c r="BB238" s="227"/>
      <c r="BC238" s="227"/>
      <c r="BD238" s="227"/>
      <c r="BE238" s="227"/>
      <c r="BF238" s="227"/>
      <c r="BG238" s="227"/>
      <c r="BH238" s="227"/>
      <c r="BI238" s="227"/>
      <c r="BJ238" s="227"/>
      <c r="BK238" s="227"/>
    </row>
    <row r="239" spans="1:63" x14ac:dyDescent="0.3">
      <c r="A239" s="210">
        <f t="shared" si="104"/>
        <v>0</v>
      </c>
      <c r="B239" s="210">
        <f t="shared" si="105"/>
        <v>0</v>
      </c>
      <c r="C239" s="210">
        <f t="shared" si="89"/>
        <v>0</v>
      </c>
      <c r="D239" s="210">
        <f t="shared" si="106"/>
        <v>0</v>
      </c>
      <c r="E239" s="210">
        <f t="shared" si="90"/>
        <v>0</v>
      </c>
      <c r="F239" s="297">
        <v>49</v>
      </c>
      <c r="G239" s="210">
        <f t="shared" si="76"/>
        <v>50</v>
      </c>
      <c r="I239" s="210">
        <v>25</v>
      </c>
      <c r="J239" s="295"/>
      <c r="K239" s="295">
        <f t="shared" si="77"/>
        <v>0</v>
      </c>
      <c r="L239" s="295"/>
      <c r="M239" s="295"/>
      <c r="N239" s="295"/>
      <c r="O239" s="295"/>
      <c r="P239" s="295"/>
      <c r="Q239" s="295"/>
      <c r="R239" s="295"/>
      <c r="S239" s="295"/>
      <c r="T239" s="295">
        <f t="shared" si="49"/>
        <v>0</v>
      </c>
      <c r="U239" s="295"/>
      <c r="V239" s="295"/>
      <c r="W239" s="295"/>
      <c r="X239" s="295"/>
      <c r="Y239" s="295"/>
      <c r="Z239" s="295"/>
      <c r="AA239" s="295"/>
      <c r="AB239" s="210">
        <f t="shared" si="91"/>
        <v>0</v>
      </c>
      <c r="AC239" s="210">
        <f t="shared" si="92"/>
        <v>0</v>
      </c>
      <c r="AD239" s="210">
        <f t="shared" si="93"/>
        <v>0</v>
      </c>
      <c r="AE239" s="210">
        <f t="shared" si="94"/>
        <v>0</v>
      </c>
      <c r="AF239" s="227">
        <f t="shared" si="95"/>
        <v>0.05</v>
      </c>
      <c r="AG239" s="227">
        <f>ROUNDDOWN(SUM(AF$191:AF239)-SUM(AG$191:AG238),0)*$A239</f>
        <v>0</v>
      </c>
      <c r="AH239" s="227">
        <f t="shared" si="96"/>
        <v>0</v>
      </c>
      <c r="AI239" s="210">
        <f t="shared" si="97"/>
        <v>0</v>
      </c>
      <c r="AJ239" s="210">
        <f t="shared" si="98"/>
        <v>0</v>
      </c>
      <c r="AK239" s="210">
        <f t="shared" si="99"/>
        <v>0</v>
      </c>
      <c r="AL239" s="210">
        <f t="shared" si="100"/>
        <v>0</v>
      </c>
      <c r="AM239" s="210">
        <f t="shared" si="101"/>
        <v>0.05</v>
      </c>
      <c r="AN239" s="227">
        <f>ROUNDDOWN(SUM(AM$191:AM239)-SUM(AN$191:AN238),0)*$A239</f>
        <v>0</v>
      </c>
      <c r="AO239" s="227">
        <f t="shared" si="102"/>
        <v>0</v>
      </c>
      <c r="AP239" s="210">
        <f t="shared" si="84"/>
        <v>0.37895843976950117</v>
      </c>
      <c r="AQ239" s="210">
        <f t="shared" si="85"/>
        <v>0.37895843976950117</v>
      </c>
      <c r="AR239" s="210">
        <f t="shared" si="86"/>
        <v>0.37895843976950117</v>
      </c>
      <c r="AS239" s="210">
        <f t="shared" si="112"/>
        <v>0.37895843976950117</v>
      </c>
      <c r="AT239" s="210">
        <f t="shared" si="113"/>
        <v>0.37895843976950117</v>
      </c>
      <c r="AU239" s="227">
        <f t="shared" si="103"/>
        <v>2.6388117932094164</v>
      </c>
      <c r="AV239" s="227">
        <f t="shared" si="107"/>
        <v>1</v>
      </c>
      <c r="AW239" s="227">
        <f t="shared" si="108"/>
        <v>1</v>
      </c>
      <c r="AX239" s="227">
        <f t="shared" si="109"/>
        <v>1</v>
      </c>
      <c r="AY239" s="227">
        <f t="shared" si="110"/>
        <v>1</v>
      </c>
      <c r="AZ239" s="227">
        <f t="shared" si="111"/>
        <v>1</v>
      </c>
      <c r="BB239" s="227"/>
      <c r="BC239" s="227"/>
      <c r="BD239" s="227"/>
      <c r="BE239" s="227"/>
      <c r="BF239" s="227"/>
      <c r="BG239" s="227"/>
      <c r="BH239" s="227"/>
      <c r="BI239" s="227"/>
      <c r="BJ239" s="227"/>
      <c r="BK239" s="227"/>
    </row>
    <row r="240" spans="1:63" x14ac:dyDescent="0.3">
      <c r="A240" s="210">
        <f t="shared" si="104"/>
        <v>0</v>
      </c>
      <c r="B240" s="210">
        <f t="shared" si="105"/>
        <v>0</v>
      </c>
      <c r="C240" s="210">
        <f t="shared" si="89"/>
        <v>0</v>
      </c>
      <c r="D240" s="210">
        <f t="shared" si="106"/>
        <v>0</v>
      </c>
      <c r="E240" s="210">
        <f t="shared" si="90"/>
        <v>0</v>
      </c>
      <c r="F240" s="297">
        <v>50</v>
      </c>
      <c r="G240" s="210">
        <f t="shared" si="76"/>
        <v>51</v>
      </c>
      <c r="I240" s="210">
        <v>25</v>
      </c>
      <c r="J240" s="295"/>
      <c r="K240" s="295">
        <f t="shared" si="77"/>
        <v>0</v>
      </c>
      <c r="L240" s="295"/>
      <c r="M240" s="295"/>
      <c r="N240" s="295"/>
      <c r="O240" s="295"/>
      <c r="P240" s="295"/>
      <c r="Q240" s="295"/>
      <c r="R240" s="295"/>
      <c r="S240" s="295"/>
      <c r="T240" s="295">
        <f t="shared" si="49"/>
        <v>0</v>
      </c>
      <c r="U240" s="295"/>
      <c r="V240" s="295"/>
      <c r="W240" s="295"/>
      <c r="X240" s="295"/>
      <c r="Y240" s="295"/>
      <c r="Z240" s="295"/>
      <c r="AA240" s="295"/>
      <c r="AB240" s="210">
        <f t="shared" si="91"/>
        <v>0</v>
      </c>
      <c r="AC240" s="210">
        <f t="shared" si="92"/>
        <v>0</v>
      </c>
      <c r="AD240" s="210">
        <f t="shared" si="93"/>
        <v>0</v>
      </c>
      <c r="AE240" s="210">
        <f t="shared" si="94"/>
        <v>0</v>
      </c>
      <c r="AF240" s="227">
        <f t="shared" si="95"/>
        <v>0.05</v>
      </c>
      <c r="AG240" s="227">
        <f>ROUNDDOWN(SUM(AF$191:AF240)-SUM(AG$191:AG239),0)*$A240</f>
        <v>0</v>
      </c>
      <c r="AH240" s="227">
        <f t="shared" si="96"/>
        <v>0</v>
      </c>
      <c r="AI240" s="210">
        <f t="shared" si="97"/>
        <v>0</v>
      </c>
      <c r="AJ240" s="210">
        <f t="shared" si="98"/>
        <v>0</v>
      </c>
      <c r="AK240" s="210">
        <f t="shared" si="99"/>
        <v>0</v>
      </c>
      <c r="AL240" s="210">
        <f t="shared" si="100"/>
        <v>0</v>
      </c>
      <c r="AM240" s="210">
        <f t="shared" si="101"/>
        <v>0.05</v>
      </c>
      <c r="AN240" s="227">
        <f>ROUNDDOWN(SUM(AM$191:AM240)-SUM(AN$191:AN239),0)*$A240</f>
        <v>0</v>
      </c>
      <c r="AO240" s="227">
        <f t="shared" si="102"/>
        <v>0</v>
      </c>
      <c r="AP240" s="210">
        <f t="shared" si="84"/>
        <v>0.37152788212696192</v>
      </c>
      <c r="AQ240" s="210">
        <f t="shared" si="85"/>
        <v>0.37152788212696192</v>
      </c>
      <c r="AR240" s="210">
        <f t="shared" si="86"/>
        <v>0.37152788212696192</v>
      </c>
      <c r="AS240" s="210">
        <f t="shared" si="112"/>
        <v>0.37152788212696192</v>
      </c>
      <c r="AT240" s="210">
        <f t="shared" si="113"/>
        <v>0.37152788212696192</v>
      </c>
      <c r="AU240" s="227">
        <f t="shared" si="103"/>
        <v>2.6915880290736047</v>
      </c>
      <c r="AV240" s="227">
        <f t="shared" si="107"/>
        <v>1</v>
      </c>
      <c r="AW240" s="227">
        <f t="shared" si="108"/>
        <v>1</v>
      </c>
      <c r="AX240" s="227">
        <f t="shared" si="109"/>
        <v>1</v>
      </c>
      <c r="AY240" s="227">
        <f t="shared" si="110"/>
        <v>1</v>
      </c>
      <c r="AZ240" s="227">
        <f t="shared" si="111"/>
        <v>1</v>
      </c>
      <c r="BB240" s="227"/>
      <c r="BC240" s="227"/>
      <c r="BD240" s="227"/>
      <c r="BE240" s="227"/>
      <c r="BF240" s="227"/>
      <c r="BG240" s="227"/>
      <c r="BH240" s="227"/>
      <c r="BI240" s="227"/>
      <c r="BJ240" s="227"/>
      <c r="BK240" s="227"/>
    </row>
    <row r="241" spans="1:63" x14ac:dyDescent="0.3">
      <c r="A241" s="210">
        <f t="shared" si="104"/>
        <v>0</v>
      </c>
      <c r="B241" s="210">
        <f t="shared" si="105"/>
        <v>0</v>
      </c>
      <c r="C241" s="210">
        <f t="shared" si="89"/>
        <v>0</v>
      </c>
      <c r="D241" s="210">
        <f t="shared" si="106"/>
        <v>0</v>
      </c>
      <c r="E241" s="210">
        <f t="shared" si="90"/>
        <v>0</v>
      </c>
      <c r="F241" s="297">
        <v>51</v>
      </c>
      <c r="G241" s="210">
        <f t="shared" si="76"/>
        <v>52</v>
      </c>
      <c r="I241" s="210">
        <v>25</v>
      </c>
      <c r="J241" s="295"/>
      <c r="K241" s="295">
        <f t="shared" si="77"/>
        <v>0</v>
      </c>
      <c r="L241" s="295"/>
      <c r="M241" s="295"/>
      <c r="N241" s="295"/>
      <c r="O241" s="295"/>
      <c r="P241" s="295"/>
      <c r="Q241" s="295"/>
      <c r="R241" s="295"/>
      <c r="S241" s="295"/>
      <c r="T241" s="295">
        <f t="shared" si="49"/>
        <v>0</v>
      </c>
      <c r="U241" s="295"/>
      <c r="V241" s="295"/>
      <c r="W241" s="295"/>
      <c r="X241" s="295"/>
      <c r="Y241" s="295"/>
      <c r="Z241" s="295"/>
      <c r="AA241" s="295"/>
      <c r="AB241" s="210">
        <f t="shared" si="91"/>
        <v>0</v>
      </c>
      <c r="AC241" s="210">
        <f t="shared" si="92"/>
        <v>0</v>
      </c>
      <c r="AD241" s="210">
        <f t="shared" si="93"/>
        <v>0</v>
      </c>
      <c r="AE241" s="210">
        <f t="shared" si="94"/>
        <v>0</v>
      </c>
      <c r="AF241" s="227">
        <f t="shared" si="95"/>
        <v>0.05</v>
      </c>
      <c r="AG241" s="227">
        <f>ROUNDDOWN(SUM(AF$191:AF241)-SUM(AG$191:AG240),0)*$A241</f>
        <v>0</v>
      </c>
      <c r="AH241" s="227">
        <f t="shared" si="96"/>
        <v>0</v>
      </c>
      <c r="AI241" s="210">
        <f t="shared" si="97"/>
        <v>0</v>
      </c>
      <c r="AJ241" s="210">
        <f t="shared" si="98"/>
        <v>0</v>
      </c>
      <c r="AK241" s="210">
        <f t="shared" si="99"/>
        <v>0</v>
      </c>
      <c r="AL241" s="210">
        <f t="shared" si="100"/>
        <v>0</v>
      </c>
      <c r="AM241" s="210">
        <f t="shared" si="101"/>
        <v>0.05</v>
      </c>
      <c r="AN241" s="227">
        <f>ROUNDDOWN(SUM(AM$191:AM241)-SUM(AN$191:AN240),0)*$A241</f>
        <v>0</v>
      </c>
      <c r="AO241" s="227">
        <f t="shared" si="102"/>
        <v>0</v>
      </c>
      <c r="AP241" s="210">
        <f t="shared" si="84"/>
        <v>0.36424302169309997</v>
      </c>
      <c r="AQ241" s="210">
        <f t="shared" si="85"/>
        <v>0.36424302169309997</v>
      </c>
      <c r="AR241" s="210">
        <f t="shared" si="86"/>
        <v>0.36424302169309997</v>
      </c>
      <c r="AS241" s="210">
        <f t="shared" si="112"/>
        <v>0.36424302169309997</v>
      </c>
      <c r="AT241" s="210">
        <f t="shared" si="113"/>
        <v>0.36424302169309997</v>
      </c>
      <c r="AU241" s="227">
        <f t="shared" si="103"/>
        <v>2.7454197896550765</v>
      </c>
      <c r="AV241" s="227">
        <f t="shared" si="107"/>
        <v>1</v>
      </c>
      <c r="AW241" s="227">
        <f t="shared" si="108"/>
        <v>1</v>
      </c>
      <c r="AX241" s="227">
        <f t="shared" si="109"/>
        <v>1</v>
      </c>
      <c r="AY241" s="227">
        <f t="shared" si="110"/>
        <v>1</v>
      </c>
      <c r="AZ241" s="227">
        <f t="shared" si="111"/>
        <v>1</v>
      </c>
      <c r="BB241" s="227"/>
      <c r="BC241" s="227"/>
      <c r="BD241" s="227"/>
      <c r="BE241" s="227"/>
      <c r="BF241" s="227"/>
      <c r="BG241" s="227"/>
      <c r="BH241" s="227"/>
      <c r="BI241" s="227"/>
      <c r="BJ241" s="227"/>
      <c r="BK241" s="227"/>
    </row>
    <row r="242" spans="1:63" x14ac:dyDescent="0.3">
      <c r="A242" s="210">
        <f t="shared" si="104"/>
        <v>0</v>
      </c>
      <c r="B242" s="210">
        <f t="shared" si="105"/>
        <v>0</v>
      </c>
      <c r="C242" s="210">
        <f t="shared" si="89"/>
        <v>0</v>
      </c>
      <c r="D242" s="210">
        <f t="shared" si="106"/>
        <v>0</v>
      </c>
      <c r="E242" s="210">
        <f t="shared" si="90"/>
        <v>0</v>
      </c>
      <c r="F242" s="297">
        <v>52</v>
      </c>
      <c r="G242" s="210">
        <f t="shared" si="76"/>
        <v>53</v>
      </c>
      <c r="I242" s="210">
        <v>25</v>
      </c>
      <c r="J242" s="295"/>
      <c r="K242" s="295">
        <f t="shared" si="77"/>
        <v>0</v>
      </c>
      <c r="L242" s="295"/>
      <c r="M242" s="295"/>
      <c r="N242" s="295"/>
      <c r="O242" s="295"/>
      <c r="P242" s="295"/>
      <c r="Q242" s="295"/>
      <c r="R242" s="295"/>
      <c r="S242" s="295"/>
      <c r="T242" s="295">
        <f t="shared" si="49"/>
        <v>0</v>
      </c>
      <c r="U242" s="295"/>
      <c r="V242" s="295"/>
      <c r="W242" s="295"/>
      <c r="X242" s="295"/>
      <c r="Y242" s="295"/>
      <c r="Z242" s="295"/>
      <c r="AA242" s="295"/>
      <c r="AB242" s="210">
        <f t="shared" si="91"/>
        <v>0</v>
      </c>
      <c r="AC242" s="210">
        <f t="shared" si="92"/>
        <v>0</v>
      </c>
      <c r="AD242" s="210">
        <f t="shared" si="93"/>
        <v>0</v>
      </c>
      <c r="AE242" s="210">
        <f t="shared" si="94"/>
        <v>0</v>
      </c>
      <c r="AF242" s="227">
        <f t="shared" si="95"/>
        <v>0.05</v>
      </c>
      <c r="AG242" s="227">
        <f>ROUNDDOWN(SUM(AF$191:AF242)-SUM(AG$191:AG241),0)*$A242</f>
        <v>0</v>
      </c>
      <c r="AH242" s="227">
        <f t="shared" si="96"/>
        <v>0</v>
      </c>
      <c r="AI242" s="210">
        <f t="shared" si="97"/>
        <v>0</v>
      </c>
      <c r="AJ242" s="210">
        <f t="shared" si="98"/>
        <v>0</v>
      </c>
      <c r="AK242" s="210">
        <f t="shared" si="99"/>
        <v>0</v>
      </c>
      <c r="AL242" s="210">
        <f t="shared" si="100"/>
        <v>0</v>
      </c>
      <c r="AM242" s="210">
        <f t="shared" si="101"/>
        <v>0.05</v>
      </c>
      <c r="AN242" s="227">
        <f>ROUNDDOWN(SUM(AM$191:AM242)-SUM(AN$191:AN241),0)*$A242</f>
        <v>0</v>
      </c>
      <c r="AO242" s="227">
        <f t="shared" si="102"/>
        <v>0</v>
      </c>
      <c r="AP242" s="210">
        <f t="shared" si="84"/>
        <v>0.35710100165990188</v>
      </c>
      <c r="AQ242" s="210">
        <f t="shared" si="85"/>
        <v>0.35710100165990188</v>
      </c>
      <c r="AR242" s="210">
        <f t="shared" si="86"/>
        <v>0.35710100165990188</v>
      </c>
      <c r="AS242" s="210">
        <f t="shared" si="112"/>
        <v>0.35710100165990188</v>
      </c>
      <c r="AT242" s="210">
        <f t="shared" si="113"/>
        <v>0.35710100165990188</v>
      </c>
      <c r="AU242" s="227">
        <f t="shared" si="103"/>
        <v>2.8003281854481785</v>
      </c>
      <c r="AV242" s="227">
        <f t="shared" si="107"/>
        <v>1</v>
      </c>
      <c r="AW242" s="227">
        <f t="shared" si="108"/>
        <v>1</v>
      </c>
      <c r="AX242" s="227">
        <f t="shared" si="109"/>
        <v>1</v>
      </c>
      <c r="AY242" s="227">
        <f t="shared" si="110"/>
        <v>1</v>
      </c>
      <c r="AZ242" s="227">
        <f t="shared" si="111"/>
        <v>1</v>
      </c>
      <c r="BB242" s="227"/>
      <c r="BC242" s="227"/>
      <c r="BD242" s="227"/>
      <c r="BE242" s="227"/>
      <c r="BF242" s="227"/>
      <c r="BG242" s="227"/>
      <c r="BH242" s="227"/>
      <c r="BI242" s="227"/>
      <c r="BJ242" s="227"/>
      <c r="BK242" s="227"/>
    </row>
    <row r="243" spans="1:63" x14ac:dyDescent="0.3">
      <c r="A243" s="210">
        <f t="shared" si="104"/>
        <v>0</v>
      </c>
      <c r="B243" s="210">
        <f t="shared" si="105"/>
        <v>0</v>
      </c>
      <c r="C243" s="210">
        <f t="shared" si="89"/>
        <v>0</v>
      </c>
      <c r="D243" s="210">
        <f t="shared" si="106"/>
        <v>0</v>
      </c>
      <c r="E243" s="210">
        <f t="shared" si="90"/>
        <v>0</v>
      </c>
      <c r="F243" s="297">
        <v>53</v>
      </c>
      <c r="G243" s="210">
        <f t="shared" si="76"/>
        <v>54</v>
      </c>
      <c r="I243" s="210">
        <v>25</v>
      </c>
      <c r="J243" s="295"/>
      <c r="K243" s="295">
        <f t="shared" si="77"/>
        <v>0</v>
      </c>
      <c r="L243" s="295"/>
      <c r="M243" s="295"/>
      <c r="N243" s="295"/>
      <c r="O243" s="295"/>
      <c r="P243" s="295"/>
      <c r="Q243" s="295"/>
      <c r="R243" s="295"/>
      <c r="S243" s="295"/>
      <c r="T243" s="295">
        <f t="shared" si="49"/>
        <v>0</v>
      </c>
      <c r="U243" s="295"/>
      <c r="V243" s="295"/>
      <c r="W243" s="295"/>
      <c r="X243" s="295"/>
      <c r="Y243" s="295"/>
      <c r="Z243" s="295"/>
      <c r="AA243" s="295"/>
      <c r="AB243" s="210">
        <f t="shared" si="91"/>
        <v>0</v>
      </c>
      <c r="AC243" s="210">
        <f t="shared" si="92"/>
        <v>0</v>
      </c>
      <c r="AD243" s="210">
        <f t="shared" si="93"/>
        <v>0</v>
      </c>
      <c r="AE243" s="210">
        <f t="shared" si="94"/>
        <v>0</v>
      </c>
      <c r="AF243" s="227">
        <f t="shared" si="95"/>
        <v>0.05</v>
      </c>
      <c r="AG243" s="227">
        <f>ROUNDDOWN(SUM(AF$191:AF243)-SUM(AG$191:AG242),0)*$A243</f>
        <v>0</v>
      </c>
      <c r="AH243" s="227">
        <f t="shared" si="96"/>
        <v>0</v>
      </c>
      <c r="AI243" s="210">
        <f t="shared" si="97"/>
        <v>0</v>
      </c>
      <c r="AJ243" s="210">
        <f t="shared" si="98"/>
        <v>0</v>
      </c>
      <c r="AK243" s="210">
        <f t="shared" si="99"/>
        <v>0</v>
      </c>
      <c r="AL243" s="210">
        <f t="shared" si="100"/>
        <v>0</v>
      </c>
      <c r="AM243" s="210">
        <f t="shared" si="101"/>
        <v>0.05</v>
      </c>
      <c r="AN243" s="227">
        <f>ROUNDDOWN(SUM(AM$191:AM243)-SUM(AN$191:AN242),0)*$A243</f>
        <v>0</v>
      </c>
      <c r="AO243" s="227">
        <f t="shared" si="102"/>
        <v>0</v>
      </c>
      <c r="AP243" s="210">
        <f t="shared" si="84"/>
        <v>0.35009902123519798</v>
      </c>
      <c r="AQ243" s="210">
        <f t="shared" si="85"/>
        <v>0.35009902123519798</v>
      </c>
      <c r="AR243" s="210">
        <f t="shared" si="86"/>
        <v>0.35009902123519798</v>
      </c>
      <c r="AS243" s="210">
        <f t="shared" si="112"/>
        <v>0.35009902123519798</v>
      </c>
      <c r="AT243" s="210">
        <f t="shared" si="113"/>
        <v>0.35009902123519798</v>
      </c>
      <c r="AU243" s="227">
        <f t="shared" si="103"/>
        <v>2.8563347491571416</v>
      </c>
      <c r="AV243" s="227">
        <f t="shared" si="107"/>
        <v>1</v>
      </c>
      <c r="AW243" s="227">
        <f t="shared" si="108"/>
        <v>1</v>
      </c>
      <c r="AX243" s="227">
        <f t="shared" si="109"/>
        <v>1</v>
      </c>
      <c r="AY243" s="227">
        <f t="shared" si="110"/>
        <v>1</v>
      </c>
      <c r="AZ243" s="227">
        <f t="shared" si="111"/>
        <v>1</v>
      </c>
      <c r="BB243" s="227"/>
      <c r="BC243" s="227"/>
      <c r="BD243" s="227"/>
      <c r="BE243" s="227"/>
      <c r="BF243" s="227"/>
      <c r="BG243" s="227"/>
      <c r="BH243" s="227"/>
      <c r="BI243" s="227"/>
      <c r="BJ243" s="227"/>
      <c r="BK243" s="227"/>
    </row>
    <row r="244" spans="1:63" x14ac:dyDescent="0.3">
      <c r="A244" s="210">
        <f t="shared" si="104"/>
        <v>0</v>
      </c>
      <c r="B244" s="210">
        <f t="shared" si="105"/>
        <v>0</v>
      </c>
      <c r="C244" s="210">
        <f t="shared" si="89"/>
        <v>0</v>
      </c>
      <c r="D244" s="210">
        <f t="shared" si="106"/>
        <v>0</v>
      </c>
      <c r="E244" s="210">
        <f t="shared" si="90"/>
        <v>0</v>
      </c>
      <c r="F244" s="297">
        <v>54</v>
      </c>
      <c r="G244" s="210">
        <f t="shared" si="76"/>
        <v>55</v>
      </c>
      <c r="I244" s="210">
        <v>25</v>
      </c>
      <c r="J244" s="295"/>
      <c r="K244" s="295">
        <f t="shared" si="77"/>
        <v>0</v>
      </c>
      <c r="L244" s="295"/>
      <c r="M244" s="295"/>
      <c r="N244" s="295"/>
      <c r="O244" s="295"/>
      <c r="P244" s="295"/>
      <c r="Q244" s="295"/>
      <c r="R244" s="295"/>
      <c r="S244" s="295"/>
      <c r="T244" s="295">
        <f t="shared" si="49"/>
        <v>0</v>
      </c>
      <c r="U244" s="295"/>
      <c r="V244" s="295"/>
      <c r="W244" s="295"/>
      <c r="X244" s="295"/>
      <c r="Y244" s="295"/>
      <c r="Z244" s="295"/>
      <c r="AA244" s="295"/>
      <c r="AB244" s="210">
        <f t="shared" si="91"/>
        <v>0</v>
      </c>
      <c r="AC244" s="210">
        <f t="shared" si="92"/>
        <v>0</v>
      </c>
      <c r="AD244" s="210">
        <f t="shared" si="93"/>
        <v>0</v>
      </c>
      <c r="AE244" s="210">
        <f t="shared" si="94"/>
        <v>0</v>
      </c>
      <c r="AF244" s="227">
        <f t="shared" si="95"/>
        <v>0.05</v>
      </c>
      <c r="AG244" s="227">
        <f>ROUNDDOWN(SUM(AF$191:AF244)-SUM(AG$191:AG243),0)*$A244</f>
        <v>0</v>
      </c>
      <c r="AH244" s="227">
        <f t="shared" si="96"/>
        <v>0</v>
      </c>
      <c r="AI244" s="210">
        <f t="shared" si="97"/>
        <v>0</v>
      </c>
      <c r="AJ244" s="210">
        <f t="shared" si="98"/>
        <v>0</v>
      </c>
      <c r="AK244" s="210">
        <f t="shared" si="99"/>
        <v>0</v>
      </c>
      <c r="AL244" s="210">
        <f t="shared" si="100"/>
        <v>0</v>
      </c>
      <c r="AM244" s="210">
        <f t="shared" si="101"/>
        <v>0.05</v>
      </c>
      <c r="AN244" s="227">
        <f>ROUNDDOWN(SUM(AM$191:AM244)-SUM(AN$191:AN243),0)*$A244</f>
        <v>0</v>
      </c>
      <c r="AO244" s="227">
        <f t="shared" si="102"/>
        <v>0</v>
      </c>
      <c r="AP244" s="210">
        <f t="shared" si="84"/>
        <v>0.34323433454431168</v>
      </c>
      <c r="AQ244" s="210">
        <f t="shared" si="85"/>
        <v>0.34323433454431168</v>
      </c>
      <c r="AR244" s="210">
        <f t="shared" si="86"/>
        <v>0.34323433454431168</v>
      </c>
      <c r="AS244" s="210">
        <f t="shared" si="112"/>
        <v>0.34323433454431168</v>
      </c>
      <c r="AT244" s="210">
        <f t="shared" si="113"/>
        <v>0.34323433454431168</v>
      </c>
      <c r="AU244" s="227">
        <f t="shared" si="103"/>
        <v>2.9134614441402849</v>
      </c>
      <c r="AV244" s="227">
        <f t="shared" si="107"/>
        <v>1</v>
      </c>
      <c r="AW244" s="227">
        <f t="shared" si="108"/>
        <v>1</v>
      </c>
      <c r="AX244" s="227">
        <f t="shared" si="109"/>
        <v>1</v>
      </c>
      <c r="AY244" s="227">
        <f t="shared" si="110"/>
        <v>1</v>
      </c>
      <c r="AZ244" s="227">
        <f t="shared" si="111"/>
        <v>1</v>
      </c>
      <c r="BB244" s="227"/>
      <c r="BC244" s="227"/>
      <c r="BD244" s="227"/>
      <c r="BE244" s="227"/>
      <c r="BF244" s="227"/>
      <c r="BG244" s="227"/>
      <c r="BH244" s="227"/>
      <c r="BI244" s="227"/>
      <c r="BJ244" s="227"/>
      <c r="BK244" s="227"/>
    </row>
    <row r="245" spans="1:63" x14ac:dyDescent="0.3">
      <c r="A245" s="210">
        <f t="shared" si="104"/>
        <v>0</v>
      </c>
      <c r="B245" s="210">
        <f t="shared" si="105"/>
        <v>0</v>
      </c>
      <c r="C245" s="210">
        <f t="shared" si="89"/>
        <v>0</v>
      </c>
      <c r="D245" s="210">
        <f t="shared" si="106"/>
        <v>0</v>
      </c>
      <c r="E245" s="210">
        <f t="shared" si="90"/>
        <v>0</v>
      </c>
      <c r="F245" s="297">
        <v>55</v>
      </c>
      <c r="G245" s="210">
        <f t="shared" si="76"/>
        <v>56</v>
      </c>
      <c r="I245" s="210">
        <v>25</v>
      </c>
      <c r="J245" s="295"/>
      <c r="K245" s="295">
        <f t="shared" si="77"/>
        <v>0</v>
      </c>
      <c r="L245" s="295"/>
      <c r="M245" s="295"/>
      <c r="N245" s="295"/>
      <c r="O245" s="295"/>
      <c r="P245" s="295"/>
      <c r="Q245" s="295"/>
      <c r="R245" s="295"/>
      <c r="S245" s="295"/>
      <c r="T245" s="295">
        <f t="shared" si="49"/>
        <v>0</v>
      </c>
      <c r="U245" s="295"/>
      <c r="V245" s="295"/>
      <c r="W245" s="295"/>
      <c r="X245" s="295"/>
      <c r="Y245" s="295"/>
      <c r="Z245" s="295"/>
      <c r="AA245" s="295"/>
      <c r="AB245" s="210">
        <f t="shared" si="91"/>
        <v>0</v>
      </c>
      <c r="AC245" s="210">
        <f t="shared" si="92"/>
        <v>0</v>
      </c>
      <c r="AD245" s="210">
        <f t="shared" si="93"/>
        <v>0</v>
      </c>
      <c r="AE245" s="210">
        <f t="shared" si="94"/>
        <v>0</v>
      </c>
      <c r="AF245" s="227">
        <f t="shared" si="95"/>
        <v>0.05</v>
      </c>
      <c r="AG245" s="227">
        <f>ROUNDDOWN(SUM(AF$191:AF245)-SUM(AG$191:AG244),0)*$A245</f>
        <v>0</v>
      </c>
      <c r="AH245" s="227">
        <f t="shared" si="96"/>
        <v>0</v>
      </c>
      <c r="AI245" s="210">
        <f t="shared" si="97"/>
        <v>0</v>
      </c>
      <c r="AJ245" s="210">
        <f t="shared" si="98"/>
        <v>0</v>
      </c>
      <c r="AK245" s="210">
        <f t="shared" si="99"/>
        <v>0</v>
      </c>
      <c r="AL245" s="210">
        <f t="shared" si="100"/>
        <v>0</v>
      </c>
      <c r="AM245" s="210">
        <f t="shared" si="101"/>
        <v>0.05</v>
      </c>
      <c r="AN245" s="227">
        <f>ROUNDDOWN(SUM(AM$191:AM245)-SUM(AN$191:AN244),0)*$A245</f>
        <v>0</v>
      </c>
      <c r="AO245" s="227">
        <f t="shared" si="102"/>
        <v>0</v>
      </c>
      <c r="AP245" s="210">
        <f t="shared" si="84"/>
        <v>0.33650424955324687</v>
      </c>
      <c r="AQ245" s="210">
        <f t="shared" si="85"/>
        <v>0.33650424955324687</v>
      </c>
      <c r="AR245" s="210">
        <f t="shared" si="86"/>
        <v>0.33650424955324687</v>
      </c>
      <c r="AS245" s="210">
        <f t="shared" si="112"/>
        <v>0.33650424955324687</v>
      </c>
      <c r="AT245" s="210">
        <f t="shared" si="113"/>
        <v>0.33650424955324687</v>
      </c>
      <c r="AU245" s="227">
        <f t="shared" si="103"/>
        <v>2.9717306730230897</v>
      </c>
      <c r="AV245" s="227">
        <f t="shared" si="107"/>
        <v>1</v>
      </c>
      <c r="AW245" s="227">
        <f t="shared" si="108"/>
        <v>1</v>
      </c>
      <c r="AX245" s="227">
        <f t="shared" si="109"/>
        <v>1</v>
      </c>
      <c r="AY245" s="227">
        <f t="shared" si="110"/>
        <v>1</v>
      </c>
      <c r="AZ245" s="227">
        <f t="shared" si="111"/>
        <v>1</v>
      </c>
      <c r="BB245" s="227"/>
      <c r="BC245" s="227"/>
      <c r="BD245" s="227"/>
      <c r="BE245" s="227"/>
      <c r="BF245" s="227"/>
      <c r="BG245" s="227"/>
      <c r="BH245" s="227"/>
      <c r="BI245" s="227"/>
      <c r="BJ245" s="227"/>
      <c r="BK245" s="227"/>
    </row>
    <row r="246" spans="1:63" x14ac:dyDescent="0.3">
      <c r="A246" s="210">
        <f t="shared" si="104"/>
        <v>0</v>
      </c>
      <c r="B246" s="210">
        <f t="shared" si="105"/>
        <v>0</v>
      </c>
      <c r="C246" s="210">
        <f t="shared" si="89"/>
        <v>0</v>
      </c>
      <c r="D246" s="210">
        <f t="shared" si="106"/>
        <v>0</v>
      </c>
      <c r="E246" s="210">
        <f t="shared" si="90"/>
        <v>0</v>
      </c>
      <c r="F246" s="297">
        <v>56</v>
      </c>
      <c r="G246" s="210">
        <f t="shared" si="76"/>
        <v>57</v>
      </c>
      <c r="I246" s="210">
        <v>25</v>
      </c>
      <c r="J246" s="295"/>
      <c r="K246" s="295">
        <f t="shared" si="77"/>
        <v>0</v>
      </c>
      <c r="L246" s="295"/>
      <c r="M246" s="295"/>
      <c r="N246" s="295"/>
      <c r="O246" s="295"/>
      <c r="P246" s="295"/>
      <c r="Q246" s="295"/>
      <c r="R246" s="295"/>
      <c r="S246" s="295"/>
      <c r="T246" s="295">
        <f t="shared" si="49"/>
        <v>0</v>
      </c>
      <c r="U246" s="295"/>
      <c r="V246" s="295"/>
      <c r="W246" s="295"/>
      <c r="X246" s="295"/>
      <c r="Y246" s="295"/>
      <c r="Z246" s="295"/>
      <c r="AA246" s="295"/>
      <c r="AB246" s="210">
        <f t="shared" si="91"/>
        <v>0</v>
      </c>
      <c r="AC246" s="210">
        <f t="shared" si="92"/>
        <v>0</v>
      </c>
      <c r="AD246" s="210">
        <f t="shared" si="93"/>
        <v>0</v>
      </c>
      <c r="AE246" s="210">
        <f t="shared" si="94"/>
        <v>0</v>
      </c>
      <c r="AF246" s="227">
        <f t="shared" si="95"/>
        <v>0.05</v>
      </c>
      <c r="AG246" s="227">
        <f>ROUNDDOWN(SUM(AF$191:AF246)-SUM(AG$191:AG245),0)*$A246</f>
        <v>0</v>
      </c>
      <c r="AH246" s="227">
        <f t="shared" si="96"/>
        <v>0</v>
      </c>
      <c r="AI246" s="210">
        <f t="shared" si="97"/>
        <v>0</v>
      </c>
      <c r="AJ246" s="210">
        <f t="shared" si="98"/>
        <v>0</v>
      </c>
      <c r="AK246" s="210">
        <f t="shared" si="99"/>
        <v>0</v>
      </c>
      <c r="AL246" s="210">
        <f t="shared" si="100"/>
        <v>0</v>
      </c>
      <c r="AM246" s="210">
        <f t="shared" si="101"/>
        <v>0.05</v>
      </c>
      <c r="AN246" s="227">
        <f>ROUNDDOWN(SUM(AM$191:AM246)-SUM(AN$191:AN245),0)*$A246</f>
        <v>0</v>
      </c>
      <c r="AO246" s="227">
        <f t="shared" si="102"/>
        <v>0</v>
      </c>
      <c r="AP246" s="210">
        <f t="shared" si="84"/>
        <v>0.3299061270129871</v>
      </c>
      <c r="AQ246" s="210">
        <f t="shared" si="85"/>
        <v>0.3299061270129871</v>
      </c>
      <c r="AR246" s="210">
        <f t="shared" si="86"/>
        <v>0.3299061270129871</v>
      </c>
      <c r="AS246" s="210">
        <f t="shared" si="112"/>
        <v>0.3299061270129871</v>
      </c>
      <c r="AT246" s="210">
        <f t="shared" si="113"/>
        <v>0.3299061270129871</v>
      </c>
      <c r="AU246" s="227">
        <f t="shared" si="103"/>
        <v>3.0311652864835517</v>
      </c>
      <c r="AV246" s="227">
        <f t="shared" si="107"/>
        <v>1</v>
      </c>
      <c r="AW246" s="227">
        <f t="shared" si="108"/>
        <v>1</v>
      </c>
      <c r="AX246" s="227">
        <f t="shared" si="109"/>
        <v>1</v>
      </c>
      <c r="AY246" s="227">
        <f t="shared" si="110"/>
        <v>1</v>
      </c>
      <c r="AZ246" s="227">
        <f t="shared" si="111"/>
        <v>1</v>
      </c>
      <c r="BB246" s="227"/>
      <c r="BC246" s="227"/>
      <c r="BD246" s="227"/>
      <c r="BE246" s="227"/>
      <c r="BF246" s="227"/>
      <c r="BG246" s="227"/>
      <c r="BH246" s="227"/>
      <c r="BI246" s="227"/>
      <c r="BJ246" s="227"/>
      <c r="BK246" s="227"/>
    </row>
    <row r="247" spans="1:63" x14ac:dyDescent="0.3">
      <c r="A247" s="210">
        <f t="shared" si="104"/>
        <v>0</v>
      </c>
      <c r="B247" s="210">
        <f t="shared" si="105"/>
        <v>0</v>
      </c>
      <c r="C247" s="210">
        <f t="shared" si="89"/>
        <v>0</v>
      </c>
      <c r="D247" s="210">
        <f t="shared" si="106"/>
        <v>0</v>
      </c>
      <c r="E247" s="210">
        <f t="shared" si="90"/>
        <v>0</v>
      </c>
      <c r="F247" s="297">
        <v>57</v>
      </c>
      <c r="G247" s="210">
        <f t="shared" si="76"/>
        <v>58</v>
      </c>
      <c r="I247" s="210">
        <v>25</v>
      </c>
      <c r="J247" s="295"/>
      <c r="K247" s="295">
        <f t="shared" si="77"/>
        <v>0</v>
      </c>
      <c r="L247" s="295"/>
      <c r="M247" s="295"/>
      <c r="N247" s="295"/>
      <c r="O247" s="295"/>
      <c r="P247" s="295"/>
      <c r="Q247" s="295"/>
      <c r="R247" s="295"/>
      <c r="S247" s="295"/>
      <c r="T247" s="295">
        <f t="shared" si="49"/>
        <v>0</v>
      </c>
      <c r="U247" s="295"/>
      <c r="V247" s="295"/>
      <c r="W247" s="295"/>
      <c r="X247" s="295"/>
      <c r="Y247" s="295"/>
      <c r="Z247" s="295"/>
      <c r="AA247" s="295"/>
      <c r="AB247" s="210">
        <f t="shared" si="91"/>
        <v>0</v>
      </c>
      <c r="AC247" s="210">
        <f t="shared" si="92"/>
        <v>0</v>
      </c>
      <c r="AD247" s="210">
        <f t="shared" si="93"/>
        <v>0</v>
      </c>
      <c r="AE247" s="210">
        <f t="shared" si="94"/>
        <v>0</v>
      </c>
      <c r="AF247" s="227">
        <f t="shared" si="95"/>
        <v>0.05</v>
      </c>
      <c r="AG247" s="227">
        <f>ROUNDDOWN(SUM(AF$191:AF247)-SUM(AG$191:AG246),0)*$A247</f>
        <v>0</v>
      </c>
      <c r="AH247" s="227">
        <f t="shared" si="96"/>
        <v>0</v>
      </c>
      <c r="AI247" s="210">
        <f t="shared" si="97"/>
        <v>0</v>
      </c>
      <c r="AJ247" s="210">
        <f t="shared" si="98"/>
        <v>0</v>
      </c>
      <c r="AK247" s="210">
        <f t="shared" si="99"/>
        <v>0</v>
      </c>
      <c r="AL247" s="210">
        <f t="shared" si="100"/>
        <v>0</v>
      </c>
      <c r="AM247" s="210">
        <f t="shared" si="101"/>
        <v>0.05</v>
      </c>
      <c r="AN247" s="227">
        <f>ROUNDDOWN(SUM(AM$191:AM247)-SUM(AN$191:AN246),0)*$A247</f>
        <v>0</v>
      </c>
      <c r="AO247" s="227">
        <f t="shared" si="102"/>
        <v>0</v>
      </c>
      <c r="AP247" s="210">
        <f t="shared" si="84"/>
        <v>0.32343737942449713</v>
      </c>
      <c r="AQ247" s="210">
        <f t="shared" si="85"/>
        <v>0.32343737942449713</v>
      </c>
      <c r="AR247" s="210">
        <f t="shared" si="86"/>
        <v>0.32343737942449713</v>
      </c>
      <c r="AS247" s="210">
        <f t="shared" si="112"/>
        <v>0.32343737942449713</v>
      </c>
      <c r="AT247" s="210">
        <f t="shared" si="113"/>
        <v>0.32343737942449713</v>
      </c>
      <c r="AU247" s="227">
        <f t="shared" si="103"/>
        <v>3.0917885922132227</v>
      </c>
      <c r="AV247" s="227">
        <f t="shared" si="107"/>
        <v>1</v>
      </c>
      <c r="AW247" s="227">
        <f t="shared" si="108"/>
        <v>1</v>
      </c>
      <c r="AX247" s="227">
        <f t="shared" si="109"/>
        <v>1</v>
      </c>
      <c r="AY247" s="227">
        <f t="shared" si="110"/>
        <v>1</v>
      </c>
      <c r="AZ247" s="227">
        <f t="shared" si="111"/>
        <v>1</v>
      </c>
      <c r="BB247" s="227"/>
      <c r="BC247" s="227"/>
      <c r="BD247" s="227"/>
      <c r="BE247" s="227"/>
      <c r="BF247" s="227"/>
      <c r="BG247" s="227"/>
      <c r="BH247" s="227"/>
      <c r="BI247" s="227"/>
      <c r="BJ247" s="227"/>
      <c r="BK247" s="227"/>
    </row>
    <row r="248" spans="1:63" x14ac:dyDescent="0.3">
      <c r="A248" s="210">
        <f t="shared" si="104"/>
        <v>0</v>
      </c>
      <c r="B248" s="210">
        <f t="shared" si="105"/>
        <v>0</v>
      </c>
      <c r="C248" s="210">
        <f t="shared" si="89"/>
        <v>0</v>
      </c>
      <c r="D248" s="210">
        <f t="shared" si="106"/>
        <v>0</v>
      </c>
      <c r="E248" s="210">
        <f t="shared" si="90"/>
        <v>0</v>
      </c>
      <c r="F248" s="297">
        <v>58</v>
      </c>
      <c r="G248" s="210">
        <f t="shared" si="76"/>
        <v>59</v>
      </c>
      <c r="I248" s="210">
        <v>25</v>
      </c>
      <c r="J248" s="295"/>
      <c r="K248" s="295">
        <f t="shared" si="77"/>
        <v>0</v>
      </c>
      <c r="L248" s="295"/>
      <c r="M248" s="295"/>
      <c r="N248" s="295"/>
      <c r="O248" s="295"/>
      <c r="P248" s="295"/>
      <c r="Q248" s="295"/>
      <c r="R248" s="295"/>
      <c r="S248" s="295"/>
      <c r="T248" s="295">
        <f t="shared" si="49"/>
        <v>0</v>
      </c>
      <c r="U248" s="295"/>
      <c r="V248" s="295"/>
      <c r="W248" s="295"/>
      <c r="X248" s="295"/>
      <c r="Y248" s="295"/>
      <c r="Z248" s="295"/>
      <c r="AA248" s="295"/>
      <c r="AB248" s="210">
        <f t="shared" si="91"/>
        <v>0</v>
      </c>
      <c r="AC248" s="210">
        <f t="shared" si="92"/>
        <v>0</v>
      </c>
      <c r="AD248" s="210">
        <f t="shared" si="93"/>
        <v>0</v>
      </c>
      <c r="AE248" s="210">
        <f t="shared" si="94"/>
        <v>0</v>
      </c>
      <c r="AF248" s="227">
        <f t="shared" si="95"/>
        <v>0.05</v>
      </c>
      <c r="AG248" s="227">
        <f>ROUNDDOWN(SUM(AF$191:AF248)-SUM(AG$191:AG247),0)*$A248</f>
        <v>0</v>
      </c>
      <c r="AH248" s="227">
        <f t="shared" si="96"/>
        <v>0</v>
      </c>
      <c r="AI248" s="210">
        <f t="shared" si="97"/>
        <v>0</v>
      </c>
      <c r="AJ248" s="210">
        <f t="shared" si="98"/>
        <v>0</v>
      </c>
      <c r="AK248" s="210">
        <f t="shared" si="99"/>
        <v>0</v>
      </c>
      <c r="AL248" s="210">
        <f t="shared" si="100"/>
        <v>0</v>
      </c>
      <c r="AM248" s="210">
        <f t="shared" si="101"/>
        <v>0.05</v>
      </c>
      <c r="AN248" s="227">
        <f>ROUNDDOWN(SUM(AM$191:AM248)-SUM(AN$191:AN247),0)*$A248</f>
        <v>0</v>
      </c>
      <c r="AO248" s="227">
        <f t="shared" si="102"/>
        <v>0</v>
      </c>
      <c r="AP248" s="210">
        <f t="shared" si="84"/>
        <v>0.31709547002401678</v>
      </c>
      <c r="AQ248" s="210">
        <f t="shared" si="85"/>
        <v>0.31709547002401678</v>
      </c>
      <c r="AR248" s="210">
        <f t="shared" si="86"/>
        <v>0.31709547002401678</v>
      </c>
      <c r="AS248" s="210">
        <f t="shared" si="112"/>
        <v>0.31709547002401678</v>
      </c>
      <c r="AT248" s="210">
        <f t="shared" si="113"/>
        <v>0.31709547002401678</v>
      </c>
      <c r="AU248" s="227">
        <f t="shared" si="103"/>
        <v>3.1536243640574875</v>
      </c>
      <c r="AV248" s="227">
        <f t="shared" si="107"/>
        <v>1</v>
      </c>
      <c r="AW248" s="227">
        <f t="shared" si="108"/>
        <v>1</v>
      </c>
      <c r="AX248" s="227">
        <f t="shared" si="109"/>
        <v>1</v>
      </c>
      <c r="AY248" s="227">
        <f t="shared" si="110"/>
        <v>1</v>
      </c>
      <c r="AZ248" s="227">
        <f t="shared" si="111"/>
        <v>1</v>
      </c>
      <c r="BB248" s="227"/>
      <c r="BC248" s="227"/>
      <c r="BD248" s="227"/>
      <c r="BE248" s="227"/>
      <c r="BF248" s="227"/>
      <c r="BG248" s="227"/>
      <c r="BH248" s="227"/>
      <c r="BI248" s="227"/>
      <c r="BJ248" s="227"/>
      <c r="BK248" s="227"/>
    </row>
    <row r="249" spans="1:63" x14ac:dyDescent="0.3">
      <c r="A249" s="210">
        <f t="shared" si="104"/>
        <v>0</v>
      </c>
      <c r="B249" s="210">
        <f t="shared" si="105"/>
        <v>0</v>
      </c>
      <c r="C249" s="210">
        <f t="shared" si="89"/>
        <v>0</v>
      </c>
      <c r="D249" s="210">
        <f t="shared" si="106"/>
        <v>0</v>
      </c>
      <c r="E249" s="210">
        <f t="shared" si="90"/>
        <v>0</v>
      </c>
      <c r="F249" s="297">
        <v>59</v>
      </c>
      <c r="G249" s="210">
        <f t="shared" si="76"/>
        <v>60</v>
      </c>
      <c r="I249" s="210">
        <v>25</v>
      </c>
      <c r="J249" s="295"/>
      <c r="K249" s="295">
        <f t="shared" si="77"/>
        <v>0</v>
      </c>
      <c r="L249" s="295"/>
      <c r="M249" s="295"/>
      <c r="N249" s="295"/>
      <c r="O249" s="295"/>
      <c r="P249" s="295"/>
      <c r="Q249" s="295"/>
      <c r="R249" s="295"/>
      <c r="S249" s="295"/>
      <c r="T249" s="295">
        <f t="shared" si="49"/>
        <v>0</v>
      </c>
      <c r="U249" s="295"/>
      <c r="V249" s="295"/>
      <c r="W249" s="295"/>
      <c r="X249" s="295"/>
      <c r="Y249" s="295"/>
      <c r="Z249" s="295"/>
      <c r="AA249" s="295"/>
      <c r="AB249" s="210">
        <f t="shared" si="91"/>
        <v>0</v>
      </c>
      <c r="AC249" s="210">
        <f t="shared" si="92"/>
        <v>0</v>
      </c>
      <c r="AD249" s="210">
        <f t="shared" si="93"/>
        <v>0</v>
      </c>
      <c r="AE249" s="210">
        <f t="shared" si="94"/>
        <v>0</v>
      </c>
      <c r="AF249" s="227">
        <f t="shared" si="95"/>
        <v>0.05</v>
      </c>
      <c r="AG249" s="227">
        <f>ROUNDDOWN(SUM(AF$191:AF249)-SUM(AG$191:AG248),0)*$A249</f>
        <v>0</v>
      </c>
      <c r="AH249" s="227">
        <f t="shared" si="96"/>
        <v>0</v>
      </c>
      <c r="AI249" s="210">
        <f t="shared" si="97"/>
        <v>0</v>
      </c>
      <c r="AJ249" s="210">
        <f t="shared" si="98"/>
        <v>0</v>
      </c>
      <c r="AK249" s="210">
        <f t="shared" si="99"/>
        <v>0</v>
      </c>
      <c r="AL249" s="210">
        <f t="shared" si="100"/>
        <v>0</v>
      </c>
      <c r="AM249" s="210">
        <f t="shared" si="101"/>
        <v>0.05</v>
      </c>
      <c r="AN249" s="227">
        <f>ROUNDDOWN(SUM(AM$191:AM249)-SUM(AN$191:AN248),0)*$A249</f>
        <v>0</v>
      </c>
      <c r="AO249" s="227">
        <f t="shared" si="102"/>
        <v>0</v>
      </c>
      <c r="AP249" s="210">
        <f t="shared" si="84"/>
        <v>0.3108779117882518</v>
      </c>
      <c r="AQ249" s="210">
        <f t="shared" si="85"/>
        <v>0.3108779117882518</v>
      </c>
      <c r="AR249" s="210">
        <f t="shared" si="86"/>
        <v>0.3108779117882518</v>
      </c>
      <c r="AS249" s="210">
        <f t="shared" si="112"/>
        <v>0.3108779117882518</v>
      </c>
      <c r="AT249" s="210">
        <f t="shared" si="113"/>
        <v>0.3108779117882518</v>
      </c>
      <c r="AU249" s="227">
        <f t="shared" si="103"/>
        <v>3.2166968513386367</v>
      </c>
      <c r="AV249" s="227">
        <f t="shared" si="107"/>
        <v>1</v>
      </c>
      <c r="AW249" s="227">
        <f t="shared" si="108"/>
        <v>1</v>
      </c>
      <c r="AX249" s="227">
        <f t="shared" si="109"/>
        <v>1</v>
      </c>
      <c r="AY249" s="227">
        <f t="shared" si="110"/>
        <v>1</v>
      </c>
      <c r="AZ249" s="227">
        <f t="shared" si="111"/>
        <v>1</v>
      </c>
      <c r="BB249" s="227"/>
      <c r="BC249" s="227"/>
      <c r="BD249" s="227"/>
      <c r="BE249" s="227"/>
      <c r="BF249" s="227"/>
      <c r="BG249" s="227"/>
      <c r="BH249" s="227"/>
      <c r="BI249" s="227"/>
      <c r="BJ249" s="227"/>
      <c r="BK249" s="227"/>
    </row>
    <row r="250" spans="1:63" x14ac:dyDescent="0.3">
      <c r="A250" s="210">
        <f t="shared" si="104"/>
        <v>0</v>
      </c>
      <c r="B250" s="210">
        <f t="shared" si="105"/>
        <v>0</v>
      </c>
      <c r="C250" s="210">
        <f t="shared" si="89"/>
        <v>0</v>
      </c>
      <c r="D250" s="210">
        <f t="shared" si="106"/>
        <v>0</v>
      </c>
      <c r="E250" s="210">
        <f t="shared" si="90"/>
        <v>0</v>
      </c>
      <c r="F250" s="297">
        <v>60</v>
      </c>
      <c r="G250" s="210">
        <f t="shared" si="76"/>
        <v>61</v>
      </c>
      <c r="I250" s="210">
        <v>25</v>
      </c>
      <c r="J250" s="295"/>
      <c r="K250" s="295">
        <f t="shared" si="77"/>
        <v>0</v>
      </c>
      <c r="L250" s="295"/>
      <c r="M250" s="295"/>
      <c r="N250" s="295"/>
      <c r="O250" s="295"/>
      <c r="P250" s="295"/>
      <c r="Q250" s="295"/>
      <c r="R250" s="295"/>
      <c r="S250" s="295"/>
      <c r="T250" s="295">
        <f t="shared" si="49"/>
        <v>0</v>
      </c>
      <c r="U250" s="295"/>
      <c r="V250" s="295"/>
      <c r="W250" s="295"/>
      <c r="X250" s="295"/>
      <c r="Y250" s="295"/>
      <c r="Z250" s="295"/>
      <c r="AA250" s="295"/>
      <c r="AB250" s="210">
        <f t="shared" si="91"/>
        <v>0</v>
      </c>
      <c r="AC250" s="210">
        <f t="shared" si="92"/>
        <v>0</v>
      </c>
      <c r="AD250" s="210">
        <f t="shared" si="93"/>
        <v>0</v>
      </c>
      <c r="AE250" s="210">
        <f t="shared" si="94"/>
        <v>0</v>
      </c>
      <c r="AF250" s="227">
        <f t="shared" si="95"/>
        <v>0.05</v>
      </c>
      <c r="AG250" s="227">
        <f>ROUNDDOWN(SUM(AF$191:AF250)-SUM(AG$191:AG249),0)*$A250</f>
        <v>0</v>
      </c>
      <c r="AH250" s="227">
        <f t="shared" si="96"/>
        <v>0</v>
      </c>
      <c r="AI250" s="210">
        <f t="shared" si="97"/>
        <v>0</v>
      </c>
      <c r="AJ250" s="210">
        <f t="shared" si="98"/>
        <v>0</v>
      </c>
      <c r="AK250" s="210">
        <f t="shared" si="99"/>
        <v>0</v>
      </c>
      <c r="AL250" s="210">
        <f t="shared" si="100"/>
        <v>0</v>
      </c>
      <c r="AM250" s="210">
        <f t="shared" si="101"/>
        <v>0.05</v>
      </c>
      <c r="AN250" s="227">
        <f>ROUNDDOWN(SUM(AM$191:AM250)-SUM(AN$191:AN249),0)*$A250</f>
        <v>0</v>
      </c>
      <c r="AO250" s="227">
        <f t="shared" si="102"/>
        <v>0</v>
      </c>
      <c r="AP250" s="210">
        <f t="shared" si="84"/>
        <v>0.30478226645907031</v>
      </c>
      <c r="AQ250" s="210">
        <f t="shared" si="85"/>
        <v>0.30478226645907031</v>
      </c>
      <c r="AR250" s="210">
        <f t="shared" si="86"/>
        <v>0.30478226645907031</v>
      </c>
      <c r="AS250" s="210">
        <f t="shared" si="112"/>
        <v>0.30478226645907031</v>
      </c>
      <c r="AT250" s="210">
        <f t="shared" si="113"/>
        <v>0.30478226645907031</v>
      </c>
      <c r="AU250" s="227">
        <f t="shared" si="103"/>
        <v>3.2810307883654102</v>
      </c>
      <c r="AV250" s="227">
        <f t="shared" si="107"/>
        <v>1</v>
      </c>
      <c r="AW250" s="227">
        <f t="shared" si="108"/>
        <v>1</v>
      </c>
      <c r="AX250" s="227">
        <f t="shared" si="109"/>
        <v>1</v>
      </c>
      <c r="AY250" s="227">
        <f t="shared" si="110"/>
        <v>1</v>
      </c>
      <c r="AZ250" s="227">
        <f t="shared" si="111"/>
        <v>1</v>
      </c>
      <c r="BB250" s="227"/>
      <c r="BC250" s="227"/>
      <c r="BD250" s="227"/>
      <c r="BE250" s="227"/>
      <c r="BF250" s="227"/>
      <c r="BG250" s="227"/>
      <c r="BH250" s="227"/>
      <c r="BI250" s="227"/>
      <c r="BJ250" s="227"/>
      <c r="BK250" s="227"/>
    </row>
    <row r="251" spans="1:63" x14ac:dyDescent="0.3">
      <c r="A251" s="210">
        <f t="shared" si="104"/>
        <v>0</v>
      </c>
      <c r="B251" s="210">
        <f t="shared" si="105"/>
        <v>0</v>
      </c>
      <c r="C251" s="210">
        <f t="shared" si="89"/>
        <v>0</v>
      </c>
      <c r="D251" s="210">
        <f t="shared" si="106"/>
        <v>0</v>
      </c>
      <c r="E251" s="210">
        <f t="shared" si="90"/>
        <v>0</v>
      </c>
      <c r="F251" s="297">
        <v>61</v>
      </c>
      <c r="G251" s="210">
        <f t="shared" si="76"/>
        <v>62</v>
      </c>
      <c r="I251" s="210">
        <v>25</v>
      </c>
      <c r="J251" s="295"/>
      <c r="K251" s="295">
        <f t="shared" si="77"/>
        <v>0</v>
      </c>
      <c r="L251" s="295"/>
      <c r="M251" s="295"/>
      <c r="N251" s="295"/>
      <c r="O251" s="295"/>
      <c r="P251" s="295"/>
      <c r="Q251" s="295"/>
      <c r="R251" s="295"/>
      <c r="S251" s="295"/>
      <c r="T251" s="295">
        <f t="shared" si="49"/>
        <v>0</v>
      </c>
      <c r="U251" s="295"/>
      <c r="V251" s="295"/>
      <c r="W251" s="295"/>
      <c r="X251" s="295"/>
      <c r="Y251" s="295"/>
      <c r="Z251" s="295"/>
      <c r="AA251" s="295"/>
      <c r="AB251" s="210">
        <f t="shared" si="91"/>
        <v>0</v>
      </c>
      <c r="AC251" s="210">
        <f t="shared" si="92"/>
        <v>0</v>
      </c>
      <c r="AD251" s="210">
        <f t="shared" si="93"/>
        <v>0</v>
      </c>
      <c r="AE251" s="210">
        <f t="shared" si="94"/>
        <v>0</v>
      </c>
      <c r="AF251" s="227">
        <f t="shared" si="95"/>
        <v>0.05</v>
      </c>
      <c r="AG251" s="227">
        <f>ROUNDDOWN(SUM(AF$191:AF251)-SUM(AG$191:AG250),0)*$A251</f>
        <v>0</v>
      </c>
      <c r="AH251" s="227">
        <f t="shared" si="96"/>
        <v>0</v>
      </c>
      <c r="AI251" s="210">
        <f t="shared" si="97"/>
        <v>0</v>
      </c>
      <c r="AJ251" s="210">
        <f t="shared" si="98"/>
        <v>0</v>
      </c>
      <c r="AK251" s="210">
        <f t="shared" si="99"/>
        <v>0</v>
      </c>
      <c r="AL251" s="210">
        <f t="shared" si="100"/>
        <v>0</v>
      </c>
      <c r="AM251" s="210">
        <f t="shared" si="101"/>
        <v>0.05</v>
      </c>
      <c r="AN251" s="227">
        <f>ROUNDDOWN(SUM(AM$191:AM251)-SUM(AN$191:AN250),0)*$A251</f>
        <v>0</v>
      </c>
      <c r="AO251" s="227">
        <f t="shared" si="102"/>
        <v>0</v>
      </c>
      <c r="AP251" s="210">
        <f t="shared" si="84"/>
        <v>0.29880614358732388</v>
      </c>
      <c r="AQ251" s="210">
        <f t="shared" si="85"/>
        <v>0.29880614358732388</v>
      </c>
      <c r="AR251" s="210">
        <f t="shared" si="86"/>
        <v>0.29880614358732388</v>
      </c>
      <c r="AS251" s="210">
        <f t="shared" si="112"/>
        <v>0.29880614358732388</v>
      </c>
      <c r="AT251" s="210">
        <f t="shared" si="113"/>
        <v>0.29880614358732388</v>
      </c>
      <c r="AU251" s="227">
        <f t="shared" si="103"/>
        <v>3.346651404132718</v>
      </c>
      <c r="AV251" s="227">
        <f t="shared" si="107"/>
        <v>1</v>
      </c>
      <c r="AW251" s="227">
        <f t="shared" si="108"/>
        <v>1</v>
      </c>
      <c r="AX251" s="227">
        <f t="shared" si="109"/>
        <v>1</v>
      </c>
      <c r="AY251" s="227">
        <f t="shared" si="110"/>
        <v>1</v>
      </c>
      <c r="AZ251" s="227">
        <f t="shared" si="111"/>
        <v>1</v>
      </c>
      <c r="BB251" s="227"/>
      <c r="BC251" s="227"/>
      <c r="BD251" s="227"/>
      <c r="BE251" s="227"/>
      <c r="BF251" s="227"/>
      <c r="BG251" s="227"/>
      <c r="BH251" s="227"/>
      <c r="BI251" s="227"/>
      <c r="BJ251" s="227"/>
      <c r="BK251" s="227"/>
    </row>
    <row r="252" spans="1:63" x14ac:dyDescent="0.3">
      <c r="A252" s="210">
        <f t="shared" si="104"/>
        <v>0</v>
      </c>
      <c r="B252" s="210">
        <f t="shared" si="105"/>
        <v>0</v>
      </c>
      <c r="C252" s="210">
        <f t="shared" si="89"/>
        <v>0</v>
      </c>
      <c r="D252" s="210">
        <f t="shared" si="106"/>
        <v>0</v>
      </c>
      <c r="E252" s="210">
        <f t="shared" si="90"/>
        <v>0</v>
      </c>
      <c r="F252" s="297">
        <v>62</v>
      </c>
      <c r="G252" s="210">
        <f t="shared" si="76"/>
        <v>63</v>
      </c>
      <c r="I252" s="210">
        <v>25</v>
      </c>
      <c r="J252" s="295"/>
      <c r="K252" s="295">
        <f t="shared" si="77"/>
        <v>0</v>
      </c>
      <c r="L252" s="295"/>
      <c r="M252" s="295"/>
      <c r="N252" s="295"/>
      <c r="O252" s="295"/>
      <c r="P252" s="295"/>
      <c r="Q252" s="295"/>
      <c r="R252" s="295"/>
      <c r="S252" s="295"/>
      <c r="T252" s="295">
        <f t="shared" si="49"/>
        <v>0</v>
      </c>
      <c r="U252" s="295"/>
      <c r="V252" s="295"/>
      <c r="W252" s="295"/>
      <c r="X252" s="295"/>
      <c r="Y252" s="295"/>
      <c r="Z252" s="295"/>
      <c r="AA252" s="295"/>
      <c r="AB252" s="210">
        <f t="shared" si="91"/>
        <v>0</v>
      </c>
      <c r="AC252" s="210">
        <f t="shared" si="92"/>
        <v>0</v>
      </c>
      <c r="AD252" s="210">
        <f t="shared" si="93"/>
        <v>0</v>
      </c>
      <c r="AE252" s="210">
        <f t="shared" si="94"/>
        <v>0</v>
      </c>
      <c r="AF252" s="227">
        <f t="shared" si="95"/>
        <v>0.05</v>
      </c>
      <c r="AG252" s="227">
        <f>ROUNDDOWN(SUM(AF$191:AF252)-SUM(AG$191:AG251),0)*$A252</f>
        <v>0</v>
      </c>
      <c r="AH252" s="227">
        <f t="shared" si="96"/>
        <v>0</v>
      </c>
      <c r="AI252" s="210">
        <f t="shared" si="97"/>
        <v>0</v>
      </c>
      <c r="AJ252" s="210">
        <f t="shared" si="98"/>
        <v>0</v>
      </c>
      <c r="AK252" s="210">
        <f t="shared" si="99"/>
        <v>0</v>
      </c>
      <c r="AL252" s="210">
        <f t="shared" si="100"/>
        <v>0</v>
      </c>
      <c r="AM252" s="210">
        <f t="shared" si="101"/>
        <v>0.05</v>
      </c>
      <c r="AN252" s="227">
        <f>ROUNDDOWN(SUM(AM$191:AM252)-SUM(AN$191:AN251),0)*$A252</f>
        <v>0</v>
      </c>
      <c r="AO252" s="227">
        <f t="shared" si="102"/>
        <v>0</v>
      </c>
      <c r="AP252" s="210">
        <f t="shared" si="84"/>
        <v>0.29294719959541554</v>
      </c>
      <c r="AQ252" s="210">
        <f t="shared" si="85"/>
        <v>0.29294719959541554</v>
      </c>
      <c r="AR252" s="210">
        <f t="shared" si="86"/>
        <v>0.29294719959541554</v>
      </c>
      <c r="AS252" s="210">
        <f t="shared" si="112"/>
        <v>0.29294719959541554</v>
      </c>
      <c r="AT252" s="210">
        <f t="shared" si="113"/>
        <v>0.29294719959541554</v>
      </c>
      <c r="AU252" s="227">
        <f t="shared" si="103"/>
        <v>3.4135844322153726</v>
      </c>
      <c r="AV252" s="227">
        <f t="shared" si="107"/>
        <v>1</v>
      </c>
      <c r="AW252" s="227">
        <f t="shared" si="108"/>
        <v>1</v>
      </c>
      <c r="AX252" s="227">
        <f t="shared" si="109"/>
        <v>1</v>
      </c>
      <c r="AY252" s="227">
        <f t="shared" si="110"/>
        <v>1</v>
      </c>
      <c r="AZ252" s="227">
        <f t="shared" si="111"/>
        <v>1</v>
      </c>
      <c r="BB252" s="227"/>
      <c r="BC252" s="227"/>
      <c r="BD252" s="227"/>
      <c r="BE252" s="227"/>
      <c r="BF252" s="227"/>
      <c r="BG252" s="227"/>
      <c r="BH252" s="227"/>
      <c r="BI252" s="227"/>
      <c r="BJ252" s="227"/>
      <c r="BK252" s="227"/>
    </row>
    <row r="253" spans="1:63" x14ac:dyDescent="0.3">
      <c r="A253" s="210">
        <f t="shared" si="104"/>
        <v>0</v>
      </c>
      <c r="B253" s="210">
        <f t="shared" si="105"/>
        <v>0</v>
      </c>
      <c r="C253" s="210">
        <f t="shared" si="89"/>
        <v>0</v>
      </c>
      <c r="D253" s="210">
        <f t="shared" si="106"/>
        <v>0</v>
      </c>
      <c r="E253" s="210">
        <f t="shared" si="90"/>
        <v>0</v>
      </c>
      <c r="F253" s="297">
        <v>63</v>
      </c>
      <c r="G253" s="210">
        <f t="shared" si="76"/>
        <v>64</v>
      </c>
      <c r="I253" s="210">
        <v>25</v>
      </c>
      <c r="J253" s="295"/>
      <c r="K253" s="295">
        <f t="shared" si="77"/>
        <v>0</v>
      </c>
      <c r="L253" s="295"/>
      <c r="M253" s="295"/>
      <c r="N253" s="295"/>
      <c r="O253" s="295"/>
      <c r="P253" s="295"/>
      <c r="Q253" s="295"/>
      <c r="R253" s="295"/>
      <c r="S253" s="295"/>
      <c r="T253" s="295">
        <f t="shared" si="49"/>
        <v>0</v>
      </c>
      <c r="U253" s="295"/>
      <c r="V253" s="295"/>
      <c r="W253" s="295"/>
      <c r="X253" s="295"/>
      <c r="Y253" s="295"/>
      <c r="Z253" s="295"/>
      <c r="AA253" s="295"/>
      <c r="AB253" s="210">
        <f t="shared" si="91"/>
        <v>0</v>
      </c>
      <c r="AC253" s="210">
        <f t="shared" si="92"/>
        <v>0</v>
      </c>
      <c r="AD253" s="210">
        <f t="shared" si="93"/>
        <v>0</v>
      </c>
      <c r="AE253" s="210">
        <f t="shared" si="94"/>
        <v>0</v>
      </c>
      <c r="AF253" s="227">
        <f t="shared" si="95"/>
        <v>0.05</v>
      </c>
      <c r="AG253" s="227">
        <f>ROUNDDOWN(SUM(AF$191:AF253)-SUM(AG$191:AG252),0)*$A253</f>
        <v>0</v>
      </c>
      <c r="AH253" s="227">
        <f t="shared" si="96"/>
        <v>0</v>
      </c>
      <c r="AI253" s="210">
        <f t="shared" si="97"/>
        <v>0</v>
      </c>
      <c r="AJ253" s="210">
        <f t="shared" si="98"/>
        <v>0</v>
      </c>
      <c r="AK253" s="210">
        <f t="shared" si="99"/>
        <v>0</v>
      </c>
      <c r="AL253" s="210">
        <f t="shared" si="100"/>
        <v>0</v>
      </c>
      <c r="AM253" s="210">
        <f t="shared" si="101"/>
        <v>0.05</v>
      </c>
      <c r="AN253" s="227">
        <f>ROUNDDOWN(SUM(AM$191:AM253)-SUM(AN$191:AN252),0)*$A253</f>
        <v>0</v>
      </c>
      <c r="AO253" s="227">
        <f t="shared" si="102"/>
        <v>0</v>
      </c>
      <c r="AP253" s="210">
        <f t="shared" si="84"/>
        <v>0.28720313685825061</v>
      </c>
      <c r="AQ253" s="210">
        <f t="shared" si="85"/>
        <v>0.28720313685825061</v>
      </c>
      <c r="AR253" s="210">
        <f t="shared" si="86"/>
        <v>0.28720313685825061</v>
      </c>
      <c r="AS253" s="210">
        <f t="shared" si="112"/>
        <v>0.28720313685825061</v>
      </c>
      <c r="AT253" s="210">
        <f t="shared" si="113"/>
        <v>0.28720313685825061</v>
      </c>
      <c r="AU253" s="227">
        <f t="shared" si="103"/>
        <v>3.4818561208596792</v>
      </c>
      <c r="AV253" s="227">
        <f t="shared" si="107"/>
        <v>1</v>
      </c>
      <c r="AW253" s="227">
        <f t="shared" si="108"/>
        <v>1</v>
      </c>
      <c r="AX253" s="227">
        <f t="shared" si="109"/>
        <v>1</v>
      </c>
      <c r="AY253" s="227">
        <f t="shared" si="110"/>
        <v>1</v>
      </c>
      <c r="AZ253" s="227">
        <f t="shared" si="111"/>
        <v>1</v>
      </c>
      <c r="BB253" s="227"/>
      <c r="BC253" s="227"/>
      <c r="BD253" s="227"/>
      <c r="BE253" s="227"/>
      <c r="BF253" s="227"/>
      <c r="BG253" s="227"/>
      <c r="BH253" s="227"/>
      <c r="BI253" s="227"/>
      <c r="BJ253" s="227"/>
      <c r="BK253" s="227"/>
    </row>
    <row r="254" spans="1:63" x14ac:dyDescent="0.3">
      <c r="A254" s="210">
        <f t="shared" si="104"/>
        <v>0</v>
      </c>
      <c r="B254" s="210">
        <f t="shared" si="105"/>
        <v>0</v>
      </c>
      <c r="C254" s="210">
        <f t="shared" si="89"/>
        <v>0</v>
      </c>
      <c r="D254" s="210">
        <f t="shared" si="106"/>
        <v>0</v>
      </c>
      <c r="E254" s="210">
        <f t="shared" si="90"/>
        <v>0</v>
      </c>
      <c r="F254" s="297">
        <v>64</v>
      </c>
      <c r="G254" s="210">
        <f t="shared" si="76"/>
        <v>65</v>
      </c>
      <c r="I254" s="210">
        <v>25</v>
      </c>
      <c r="J254" s="295"/>
      <c r="K254" s="295">
        <f t="shared" si="77"/>
        <v>0</v>
      </c>
      <c r="L254" s="295"/>
      <c r="M254" s="295"/>
      <c r="N254" s="295"/>
      <c r="O254" s="295"/>
      <c r="P254" s="295"/>
      <c r="Q254" s="295"/>
      <c r="R254" s="295"/>
      <c r="S254" s="295"/>
      <c r="T254" s="295">
        <f t="shared" si="49"/>
        <v>0</v>
      </c>
      <c r="U254" s="295"/>
      <c r="V254" s="295"/>
      <c r="W254" s="295"/>
      <c r="X254" s="295"/>
      <c r="Y254" s="295"/>
      <c r="Z254" s="295"/>
      <c r="AA254" s="295"/>
      <c r="AB254" s="210">
        <f t="shared" si="91"/>
        <v>0</v>
      </c>
      <c r="AC254" s="210">
        <f t="shared" si="92"/>
        <v>0</v>
      </c>
      <c r="AD254" s="210">
        <f t="shared" si="93"/>
        <v>0</v>
      </c>
      <c r="AE254" s="210">
        <f t="shared" si="94"/>
        <v>0</v>
      </c>
      <c r="AF254" s="227">
        <f t="shared" si="95"/>
        <v>0.05</v>
      </c>
      <c r="AG254" s="227">
        <f>ROUNDDOWN(SUM(AF$191:AF254)-SUM(AG$191:AG253),0)*$A254</f>
        <v>0</v>
      </c>
      <c r="AH254" s="227">
        <f t="shared" si="96"/>
        <v>0</v>
      </c>
      <c r="AI254" s="210">
        <f t="shared" si="97"/>
        <v>0</v>
      </c>
      <c r="AJ254" s="210">
        <f t="shared" si="98"/>
        <v>0</v>
      </c>
      <c r="AK254" s="210">
        <f t="shared" si="99"/>
        <v>0</v>
      </c>
      <c r="AL254" s="210">
        <f t="shared" si="100"/>
        <v>0</v>
      </c>
      <c r="AM254" s="210">
        <f t="shared" si="101"/>
        <v>0.05</v>
      </c>
      <c r="AN254" s="227">
        <f>ROUNDDOWN(SUM(AM$191:AM254)-SUM(AN$191:AN253),0)*$A254</f>
        <v>0</v>
      </c>
      <c r="AO254" s="227">
        <f t="shared" si="102"/>
        <v>0</v>
      </c>
      <c r="AP254" s="210">
        <f t="shared" si="84"/>
        <v>0.28157170280220639</v>
      </c>
      <c r="AQ254" s="210">
        <f t="shared" si="85"/>
        <v>0.28157170280220639</v>
      </c>
      <c r="AR254" s="210">
        <f t="shared" si="86"/>
        <v>0.28157170280220639</v>
      </c>
      <c r="AS254" s="210">
        <f t="shared" si="112"/>
        <v>0.28157170280220639</v>
      </c>
      <c r="AT254" s="210">
        <f t="shared" si="113"/>
        <v>0.28157170280220639</v>
      </c>
      <c r="AU254" s="227">
        <f t="shared" si="103"/>
        <v>3.5514932432768735</v>
      </c>
      <c r="AV254" s="227">
        <f t="shared" si="107"/>
        <v>1</v>
      </c>
      <c r="AW254" s="227">
        <f t="shared" si="108"/>
        <v>1</v>
      </c>
      <c r="AX254" s="227">
        <f t="shared" si="109"/>
        <v>1</v>
      </c>
      <c r="AY254" s="227">
        <f t="shared" si="110"/>
        <v>1</v>
      </c>
      <c r="AZ254" s="227">
        <f t="shared" si="111"/>
        <v>1</v>
      </c>
      <c r="BB254" s="227"/>
      <c r="BC254" s="227"/>
      <c r="BD254" s="227"/>
      <c r="BE254" s="227"/>
      <c r="BF254" s="227"/>
      <c r="BG254" s="227"/>
      <c r="BH254" s="227"/>
      <c r="BI254" s="227"/>
      <c r="BJ254" s="227"/>
      <c r="BK254" s="227"/>
    </row>
    <row r="255" spans="1:63" x14ac:dyDescent="0.3">
      <c r="A255" s="210">
        <f t="shared" si="104"/>
        <v>0</v>
      </c>
      <c r="B255" s="210">
        <f t="shared" si="105"/>
        <v>0</v>
      </c>
      <c r="C255" s="210">
        <f t="shared" ref="C255:C291" si="114">$A255</f>
        <v>0</v>
      </c>
      <c r="D255" s="210">
        <f t="shared" si="106"/>
        <v>0</v>
      </c>
      <c r="E255" s="210">
        <f t="shared" ref="E255:E291" si="115">$A255</f>
        <v>0</v>
      </c>
      <c r="F255" s="297">
        <v>65</v>
      </c>
      <c r="G255" s="210">
        <f t="shared" si="76"/>
        <v>66</v>
      </c>
      <c r="I255" s="210">
        <v>25</v>
      </c>
      <c r="J255" s="295"/>
      <c r="K255" s="295">
        <f t="shared" si="77"/>
        <v>0</v>
      </c>
      <c r="L255" s="295"/>
      <c r="M255" s="295"/>
      <c r="N255" s="295"/>
      <c r="O255" s="295"/>
      <c r="P255" s="295"/>
      <c r="Q255" s="295"/>
      <c r="R255" s="295"/>
      <c r="S255" s="295"/>
      <c r="T255" s="295">
        <f t="shared" ref="T255:T291" si="116">SUM(U255:Y255)+AA255</f>
        <v>0</v>
      </c>
      <c r="U255" s="295"/>
      <c r="V255" s="295"/>
      <c r="W255" s="295"/>
      <c r="X255" s="295"/>
      <c r="Y255" s="295"/>
      <c r="Z255" s="295"/>
      <c r="AA255" s="295"/>
      <c r="AB255" s="210">
        <f t="shared" ref="AB255:AB291" si="117">$C255*AP255</f>
        <v>0</v>
      </c>
      <c r="AC255" s="210">
        <f t="shared" ref="AC255:AC291" si="118">$C255*AQ255</f>
        <v>0</v>
      </c>
      <c r="AD255" s="210">
        <f t="shared" ref="AD255:AD291" si="119">$C255*AR255</f>
        <v>0</v>
      </c>
      <c r="AE255" s="210">
        <f t="shared" ref="AE255:AE291" si="120">$C255*AT255</f>
        <v>0</v>
      </c>
      <c r="AF255" s="227">
        <f t="shared" ref="AF255:AF291" si="121">1/($L$18/$V$5)</f>
        <v>0.05</v>
      </c>
      <c r="AG255" s="227">
        <f>ROUNDDOWN(SUM(AF$191:AF255)-SUM(AG$191:AG254),0)*$A255</f>
        <v>0</v>
      </c>
      <c r="AH255" s="227">
        <f t="shared" ref="AH255:AH286" si="122">AG255*$AS255</f>
        <v>0</v>
      </c>
      <c r="AI255" s="210">
        <f t="shared" ref="AI255:AI291" si="123">$E255*AP255</f>
        <v>0</v>
      </c>
      <c r="AJ255" s="210">
        <f t="shared" ref="AJ255:AJ291" si="124">$E255*AQ255</f>
        <v>0</v>
      </c>
      <c r="AK255" s="210">
        <f t="shared" ref="AK255:AK291" si="125">$E255*AR255</f>
        <v>0</v>
      </c>
      <c r="AL255" s="210">
        <f t="shared" ref="AL255:AL291" si="126">$E255*AT255</f>
        <v>0</v>
      </c>
      <c r="AM255" s="210">
        <f t="shared" ref="AM255:AM291" si="127">1/($N$18/$X$5)</f>
        <v>0.05</v>
      </c>
      <c r="AN255" s="227">
        <f>ROUNDDOWN(SUM(AM$191:AM255)-SUM(AN$191:AN254),0)*$A255</f>
        <v>0</v>
      </c>
      <c r="AO255" s="227">
        <f t="shared" ref="AO255:AO286" si="128">AN255*$AS255</f>
        <v>0</v>
      </c>
      <c r="AP255" s="210">
        <f t="shared" si="84"/>
        <v>0.27605068902177099</v>
      </c>
      <c r="AQ255" s="210">
        <f t="shared" si="85"/>
        <v>0.27605068902177099</v>
      </c>
      <c r="AR255" s="210">
        <f t="shared" si="86"/>
        <v>0.27605068902177099</v>
      </c>
      <c r="AS255" s="210">
        <f t="shared" si="112"/>
        <v>0.27605068902177099</v>
      </c>
      <c r="AT255" s="210">
        <f t="shared" si="113"/>
        <v>0.27605068902177099</v>
      </c>
      <c r="AU255" s="227">
        <f t="shared" ref="AU255:AU291" si="129">(1+$L$6)^$F255</f>
        <v>3.6225231081424112</v>
      </c>
      <c r="AV255" s="227">
        <f t="shared" si="107"/>
        <v>1</v>
      </c>
      <c r="AW255" s="227">
        <f t="shared" si="108"/>
        <v>1</v>
      </c>
      <c r="AX255" s="227">
        <f t="shared" si="109"/>
        <v>1</v>
      </c>
      <c r="AY255" s="227">
        <f t="shared" si="110"/>
        <v>1</v>
      </c>
      <c r="AZ255" s="227">
        <f t="shared" si="111"/>
        <v>1</v>
      </c>
      <c r="BB255" s="227"/>
      <c r="BC255" s="227"/>
      <c r="BD255" s="227"/>
      <c r="BE255" s="227"/>
      <c r="BF255" s="227"/>
      <c r="BG255" s="227"/>
      <c r="BH255" s="227"/>
      <c r="BI255" s="227"/>
      <c r="BJ255" s="227"/>
      <c r="BK255" s="227"/>
    </row>
    <row r="256" spans="1:63" x14ac:dyDescent="0.3">
      <c r="A256" s="210">
        <f t="shared" ref="A256:A291" si="130">IF(($L$59)-$I255&gt;=1,1,IF(($L$59)-$I255&gt;=0,($L$59)-$I255,0))</f>
        <v>0</v>
      </c>
      <c r="B256" s="210">
        <f t="shared" ref="B256:B291" si="131">IF((L$18/V$5)-$I255&gt;=1,1,IF((L$18/V$5)-$I255&gt;=0,(L$18/V$5)-$I255,0))</f>
        <v>0</v>
      </c>
      <c r="C256" s="210">
        <f t="shared" si="114"/>
        <v>0</v>
      </c>
      <c r="D256" s="210">
        <f t="shared" ref="D256:D291" si="132">IF((N$18/X$5)-$I255&gt;=1,1,IF((N$18/X$5)-$I255&gt;=0,(N$18/X$5)-$I255,0))</f>
        <v>0</v>
      </c>
      <c r="E256" s="210">
        <f t="shared" si="115"/>
        <v>0</v>
      </c>
      <c r="F256" s="297">
        <v>66</v>
      </c>
      <c r="G256" s="210">
        <f t="shared" ref="G256:G292" si="133">G255+1</f>
        <v>67</v>
      </c>
      <c r="I256" s="210">
        <v>25</v>
      </c>
      <c r="J256" s="295"/>
      <c r="K256" s="295">
        <f t="shared" ref="K256:K291" si="134">SUM(L256:P256)+R256</f>
        <v>0</v>
      </c>
      <c r="L256" s="295"/>
      <c r="M256" s="295"/>
      <c r="N256" s="295"/>
      <c r="O256" s="295"/>
      <c r="P256" s="295"/>
      <c r="Q256" s="295"/>
      <c r="R256" s="295"/>
      <c r="S256" s="295"/>
      <c r="T256" s="295">
        <f t="shared" si="116"/>
        <v>0</v>
      </c>
      <c r="U256" s="295"/>
      <c r="V256" s="295"/>
      <c r="W256" s="295"/>
      <c r="X256" s="295"/>
      <c r="Y256" s="295"/>
      <c r="Z256" s="295"/>
      <c r="AA256" s="295"/>
      <c r="AB256" s="210">
        <f t="shared" si="117"/>
        <v>0</v>
      </c>
      <c r="AC256" s="210">
        <f t="shared" si="118"/>
        <v>0</v>
      </c>
      <c r="AD256" s="210">
        <f t="shared" si="119"/>
        <v>0</v>
      </c>
      <c r="AE256" s="210">
        <f t="shared" si="120"/>
        <v>0</v>
      </c>
      <c r="AF256" s="227">
        <f t="shared" si="121"/>
        <v>0.05</v>
      </c>
      <c r="AG256" s="227">
        <f>ROUNDDOWN(SUM(AF$191:AF256)-SUM(AG$191:AG255),0)*$A256</f>
        <v>0</v>
      </c>
      <c r="AH256" s="227">
        <f t="shared" si="122"/>
        <v>0</v>
      </c>
      <c r="AI256" s="210">
        <f t="shared" si="123"/>
        <v>0</v>
      </c>
      <c r="AJ256" s="210">
        <f t="shared" si="124"/>
        <v>0</v>
      </c>
      <c r="AK256" s="210">
        <f t="shared" si="125"/>
        <v>0</v>
      </c>
      <c r="AL256" s="210">
        <f t="shared" si="126"/>
        <v>0</v>
      </c>
      <c r="AM256" s="210">
        <f t="shared" si="127"/>
        <v>0.05</v>
      </c>
      <c r="AN256" s="227">
        <f>ROUNDDOWN(SUM(AM$191:AM256)-SUM(AN$191:AN255),0)*$A256</f>
        <v>0</v>
      </c>
      <c r="AO256" s="227">
        <f t="shared" si="128"/>
        <v>0</v>
      </c>
      <c r="AP256" s="210">
        <f t="shared" si="84"/>
        <v>0.27063793041350098</v>
      </c>
      <c r="AQ256" s="210">
        <f t="shared" si="85"/>
        <v>0.27063793041350098</v>
      </c>
      <c r="AR256" s="210">
        <f t="shared" si="86"/>
        <v>0.27063793041350098</v>
      </c>
      <c r="AS256" s="210">
        <f t="shared" si="112"/>
        <v>0.27063793041350098</v>
      </c>
      <c r="AT256" s="210">
        <f t="shared" si="113"/>
        <v>0.27063793041350098</v>
      </c>
      <c r="AU256" s="227">
        <f t="shared" si="129"/>
        <v>3.6949735703052591</v>
      </c>
      <c r="AV256" s="227">
        <f t="shared" ref="AV256:AV292" si="135">(1+$Q$6)^$F255</f>
        <v>1</v>
      </c>
      <c r="AW256" s="227">
        <f t="shared" ref="AW256:AW292" si="136">(1+$Q$7)^$F255</f>
        <v>1</v>
      </c>
      <c r="AX256" s="227">
        <f t="shared" ref="AX256:AX292" si="137">(1+$Q$8)^$F255</f>
        <v>1</v>
      </c>
      <c r="AY256" s="227">
        <f t="shared" ref="AY256:AY292" si="138">(1+$N$6)^$F255</f>
        <v>1</v>
      </c>
      <c r="AZ256" s="227">
        <f t="shared" ref="AZ256:AZ292" si="139">(1+$M$6)^$F255</f>
        <v>1</v>
      </c>
      <c r="BB256" s="227"/>
      <c r="BC256" s="227"/>
      <c r="BD256" s="227"/>
      <c r="BE256" s="227"/>
      <c r="BF256" s="227"/>
      <c r="BG256" s="227"/>
      <c r="BH256" s="227"/>
      <c r="BI256" s="227"/>
      <c r="BJ256" s="227"/>
      <c r="BK256" s="227"/>
    </row>
    <row r="257" spans="1:63" x14ac:dyDescent="0.3">
      <c r="A257" s="210">
        <f t="shared" si="130"/>
        <v>0</v>
      </c>
      <c r="B257" s="210">
        <f t="shared" si="131"/>
        <v>0</v>
      </c>
      <c r="C257" s="210">
        <f t="shared" si="114"/>
        <v>0</v>
      </c>
      <c r="D257" s="210">
        <f t="shared" si="132"/>
        <v>0</v>
      </c>
      <c r="E257" s="210">
        <f t="shared" si="115"/>
        <v>0</v>
      </c>
      <c r="F257" s="297">
        <v>67</v>
      </c>
      <c r="G257" s="210">
        <f t="shared" si="133"/>
        <v>68</v>
      </c>
      <c r="I257" s="210">
        <v>25</v>
      </c>
      <c r="J257" s="295"/>
      <c r="K257" s="295">
        <f t="shared" si="134"/>
        <v>0</v>
      </c>
      <c r="L257" s="295"/>
      <c r="M257" s="295"/>
      <c r="N257" s="295"/>
      <c r="O257" s="295"/>
      <c r="P257" s="295"/>
      <c r="Q257" s="295"/>
      <c r="R257" s="295"/>
      <c r="S257" s="295"/>
      <c r="T257" s="295">
        <f t="shared" si="116"/>
        <v>0</v>
      </c>
      <c r="U257" s="295"/>
      <c r="V257" s="295"/>
      <c r="W257" s="295"/>
      <c r="X257" s="295"/>
      <c r="Y257" s="295"/>
      <c r="Z257" s="295"/>
      <c r="AA257" s="295"/>
      <c r="AB257" s="210">
        <f t="shared" si="117"/>
        <v>0</v>
      </c>
      <c r="AC257" s="210">
        <f t="shared" si="118"/>
        <v>0</v>
      </c>
      <c r="AD257" s="210">
        <f t="shared" si="119"/>
        <v>0</v>
      </c>
      <c r="AE257" s="210">
        <f t="shared" si="120"/>
        <v>0</v>
      </c>
      <c r="AF257" s="227">
        <f t="shared" si="121"/>
        <v>0.05</v>
      </c>
      <c r="AG257" s="227">
        <f>ROUNDDOWN(SUM(AF$191:AF257)-SUM(AG$191:AG256),0)*$A257</f>
        <v>0</v>
      </c>
      <c r="AH257" s="227">
        <f t="shared" si="122"/>
        <v>0</v>
      </c>
      <c r="AI257" s="210">
        <f t="shared" si="123"/>
        <v>0</v>
      </c>
      <c r="AJ257" s="210">
        <f t="shared" si="124"/>
        <v>0</v>
      </c>
      <c r="AK257" s="210">
        <f t="shared" si="125"/>
        <v>0</v>
      </c>
      <c r="AL257" s="210">
        <f t="shared" si="126"/>
        <v>0</v>
      </c>
      <c r="AM257" s="210">
        <f t="shared" si="127"/>
        <v>0.05</v>
      </c>
      <c r="AN257" s="227">
        <f>ROUNDDOWN(SUM(AM$191:AM257)-SUM(AN$191:AN256),0)*$A257</f>
        <v>0</v>
      </c>
      <c r="AO257" s="227">
        <f t="shared" si="128"/>
        <v>0</v>
      </c>
      <c r="AP257" s="210">
        <f t="shared" si="84"/>
        <v>0.26533130432696173</v>
      </c>
      <c r="AQ257" s="210">
        <f t="shared" si="85"/>
        <v>0.26533130432696173</v>
      </c>
      <c r="AR257" s="210">
        <f t="shared" si="86"/>
        <v>0.26533130432696173</v>
      </c>
      <c r="AS257" s="210">
        <f t="shared" si="112"/>
        <v>0.26533130432696173</v>
      </c>
      <c r="AT257" s="210">
        <f t="shared" si="113"/>
        <v>0.26533130432696173</v>
      </c>
      <c r="AU257" s="227">
        <f t="shared" si="129"/>
        <v>3.7688730417113643</v>
      </c>
      <c r="AV257" s="227">
        <f t="shared" si="135"/>
        <v>1</v>
      </c>
      <c r="AW257" s="227">
        <f t="shared" si="136"/>
        <v>1</v>
      </c>
      <c r="AX257" s="227">
        <f t="shared" si="137"/>
        <v>1</v>
      </c>
      <c r="AY257" s="227">
        <f t="shared" si="138"/>
        <v>1</v>
      </c>
      <c r="AZ257" s="227">
        <f t="shared" si="139"/>
        <v>1</v>
      </c>
      <c r="BB257" s="227"/>
      <c r="BC257" s="227"/>
      <c r="BD257" s="227"/>
      <c r="BE257" s="227"/>
      <c r="BF257" s="227"/>
      <c r="BG257" s="227"/>
      <c r="BH257" s="227"/>
      <c r="BI257" s="227"/>
      <c r="BJ257" s="227"/>
      <c r="BK257" s="227"/>
    </row>
    <row r="258" spans="1:63" x14ac:dyDescent="0.3">
      <c r="A258" s="210">
        <f t="shared" si="130"/>
        <v>0</v>
      </c>
      <c r="B258" s="210">
        <f t="shared" si="131"/>
        <v>0</v>
      </c>
      <c r="C258" s="210">
        <f t="shared" si="114"/>
        <v>0</v>
      </c>
      <c r="D258" s="210">
        <f t="shared" si="132"/>
        <v>0</v>
      </c>
      <c r="E258" s="210">
        <f t="shared" si="115"/>
        <v>0</v>
      </c>
      <c r="F258" s="297">
        <v>68</v>
      </c>
      <c r="G258" s="210">
        <f t="shared" si="133"/>
        <v>69</v>
      </c>
      <c r="I258" s="210">
        <v>25</v>
      </c>
      <c r="J258" s="295"/>
      <c r="K258" s="295">
        <f t="shared" si="134"/>
        <v>0</v>
      </c>
      <c r="L258" s="295"/>
      <c r="M258" s="295"/>
      <c r="N258" s="295"/>
      <c r="O258" s="295"/>
      <c r="P258" s="295"/>
      <c r="Q258" s="295"/>
      <c r="R258" s="295"/>
      <c r="S258" s="295"/>
      <c r="T258" s="295">
        <f t="shared" si="116"/>
        <v>0</v>
      </c>
      <c r="U258" s="295"/>
      <c r="V258" s="295"/>
      <c r="W258" s="295"/>
      <c r="X258" s="295"/>
      <c r="Y258" s="295"/>
      <c r="Z258" s="295"/>
      <c r="AA258" s="295"/>
      <c r="AB258" s="210">
        <f t="shared" si="117"/>
        <v>0</v>
      </c>
      <c r="AC258" s="210">
        <f t="shared" si="118"/>
        <v>0</v>
      </c>
      <c r="AD258" s="210">
        <f t="shared" si="119"/>
        <v>0</v>
      </c>
      <c r="AE258" s="210">
        <f t="shared" si="120"/>
        <v>0</v>
      </c>
      <c r="AF258" s="227">
        <f t="shared" si="121"/>
        <v>0.05</v>
      </c>
      <c r="AG258" s="227">
        <f>ROUNDDOWN(SUM(AF$191:AF258)-SUM(AG$191:AG257),0)*$A258</f>
        <v>0</v>
      </c>
      <c r="AH258" s="227">
        <f t="shared" si="122"/>
        <v>0</v>
      </c>
      <c r="AI258" s="210">
        <f t="shared" si="123"/>
        <v>0</v>
      </c>
      <c r="AJ258" s="210">
        <f t="shared" si="124"/>
        <v>0</v>
      </c>
      <c r="AK258" s="210">
        <f t="shared" si="125"/>
        <v>0</v>
      </c>
      <c r="AL258" s="210">
        <f t="shared" si="126"/>
        <v>0</v>
      </c>
      <c r="AM258" s="210">
        <f t="shared" si="127"/>
        <v>0.05</v>
      </c>
      <c r="AN258" s="227">
        <f>ROUNDDOWN(SUM(AM$191:AM258)-SUM(AN$191:AN257),0)*$A258</f>
        <v>0</v>
      </c>
      <c r="AO258" s="227">
        <f t="shared" si="128"/>
        <v>0</v>
      </c>
      <c r="AP258" s="210">
        <f t="shared" si="84"/>
        <v>0.26012872973231543</v>
      </c>
      <c r="AQ258" s="210">
        <f t="shared" si="85"/>
        <v>0.26012872973231543</v>
      </c>
      <c r="AR258" s="210">
        <f t="shared" si="86"/>
        <v>0.26012872973231543</v>
      </c>
      <c r="AS258" s="210">
        <f t="shared" si="112"/>
        <v>0.26012872973231543</v>
      </c>
      <c r="AT258" s="210">
        <f t="shared" si="113"/>
        <v>0.26012872973231543</v>
      </c>
      <c r="AU258" s="227">
        <f t="shared" si="129"/>
        <v>3.8442505025455915</v>
      </c>
      <c r="AV258" s="227">
        <f t="shared" si="135"/>
        <v>1</v>
      </c>
      <c r="AW258" s="227">
        <f t="shared" si="136"/>
        <v>1</v>
      </c>
      <c r="AX258" s="227">
        <f t="shared" si="137"/>
        <v>1</v>
      </c>
      <c r="AY258" s="227">
        <f t="shared" si="138"/>
        <v>1</v>
      </c>
      <c r="AZ258" s="227">
        <f t="shared" si="139"/>
        <v>1</v>
      </c>
      <c r="BB258" s="227"/>
      <c r="BC258" s="227"/>
      <c r="BD258" s="227"/>
      <c r="BE258" s="227"/>
      <c r="BF258" s="227"/>
      <c r="BG258" s="227"/>
      <c r="BH258" s="227"/>
      <c r="BI258" s="227"/>
      <c r="BJ258" s="227"/>
      <c r="BK258" s="227"/>
    </row>
    <row r="259" spans="1:63" x14ac:dyDescent="0.3">
      <c r="A259" s="210">
        <f t="shared" si="130"/>
        <v>0</v>
      </c>
      <c r="B259" s="210">
        <f t="shared" si="131"/>
        <v>0</v>
      </c>
      <c r="C259" s="210">
        <f t="shared" si="114"/>
        <v>0</v>
      </c>
      <c r="D259" s="210">
        <f t="shared" si="132"/>
        <v>0</v>
      </c>
      <c r="E259" s="210">
        <f t="shared" si="115"/>
        <v>0</v>
      </c>
      <c r="F259" s="297">
        <v>69</v>
      </c>
      <c r="G259" s="210">
        <f t="shared" si="133"/>
        <v>70</v>
      </c>
      <c r="I259" s="210">
        <v>25</v>
      </c>
      <c r="J259" s="295"/>
      <c r="K259" s="295">
        <f t="shared" si="134"/>
        <v>0</v>
      </c>
      <c r="L259" s="295"/>
      <c r="M259" s="295"/>
      <c r="N259" s="295"/>
      <c r="O259" s="295"/>
      <c r="P259" s="295"/>
      <c r="Q259" s="295"/>
      <c r="R259" s="295"/>
      <c r="S259" s="295"/>
      <c r="T259" s="295">
        <f t="shared" si="116"/>
        <v>0</v>
      </c>
      <c r="U259" s="295"/>
      <c r="V259" s="295"/>
      <c r="W259" s="295"/>
      <c r="X259" s="295"/>
      <c r="Y259" s="295"/>
      <c r="Z259" s="295"/>
      <c r="AA259" s="295"/>
      <c r="AB259" s="210">
        <f t="shared" si="117"/>
        <v>0</v>
      </c>
      <c r="AC259" s="210">
        <f t="shared" si="118"/>
        <v>0</v>
      </c>
      <c r="AD259" s="210">
        <f t="shared" si="119"/>
        <v>0</v>
      </c>
      <c r="AE259" s="210">
        <f t="shared" si="120"/>
        <v>0</v>
      </c>
      <c r="AF259" s="227">
        <f t="shared" si="121"/>
        <v>0.05</v>
      </c>
      <c r="AG259" s="227">
        <f>ROUNDDOWN(SUM(AF$191:AF259)-SUM(AG$191:AG258),0)*$A259</f>
        <v>0</v>
      </c>
      <c r="AH259" s="227">
        <f t="shared" si="122"/>
        <v>0</v>
      </c>
      <c r="AI259" s="210">
        <f t="shared" si="123"/>
        <v>0</v>
      </c>
      <c r="AJ259" s="210">
        <f t="shared" si="124"/>
        <v>0</v>
      </c>
      <c r="AK259" s="210">
        <f t="shared" si="125"/>
        <v>0</v>
      </c>
      <c r="AL259" s="210">
        <f t="shared" si="126"/>
        <v>0</v>
      </c>
      <c r="AM259" s="210">
        <f t="shared" si="127"/>
        <v>0.05</v>
      </c>
      <c r="AN259" s="227">
        <f>ROUNDDOWN(SUM(AM$191:AM259)-SUM(AN$191:AN258),0)*$A259</f>
        <v>0</v>
      </c>
      <c r="AO259" s="227">
        <f t="shared" si="128"/>
        <v>0</v>
      </c>
      <c r="AP259" s="210">
        <f t="shared" si="84"/>
        <v>0.25502816640423082</v>
      </c>
      <c r="AQ259" s="210">
        <f t="shared" si="85"/>
        <v>0.25502816640423082</v>
      </c>
      <c r="AR259" s="210">
        <f t="shared" si="86"/>
        <v>0.25502816640423082</v>
      </c>
      <c r="AS259" s="210">
        <f t="shared" si="112"/>
        <v>0.25502816640423082</v>
      </c>
      <c r="AT259" s="210">
        <f t="shared" si="113"/>
        <v>0.25502816640423082</v>
      </c>
      <c r="AU259" s="227">
        <f t="shared" si="129"/>
        <v>3.9211355125965035</v>
      </c>
      <c r="AV259" s="227">
        <f t="shared" si="135"/>
        <v>1</v>
      </c>
      <c r="AW259" s="227">
        <f t="shared" si="136"/>
        <v>1</v>
      </c>
      <c r="AX259" s="227">
        <f t="shared" si="137"/>
        <v>1</v>
      </c>
      <c r="AY259" s="227">
        <f t="shared" si="138"/>
        <v>1</v>
      </c>
      <c r="AZ259" s="227">
        <f t="shared" si="139"/>
        <v>1</v>
      </c>
      <c r="BB259" s="227"/>
      <c r="BC259" s="227"/>
      <c r="BD259" s="227"/>
      <c r="BE259" s="227"/>
      <c r="BF259" s="227"/>
      <c r="BG259" s="227"/>
      <c r="BH259" s="227"/>
      <c r="BI259" s="227"/>
      <c r="BJ259" s="227"/>
      <c r="BK259" s="227"/>
    </row>
    <row r="260" spans="1:63" x14ac:dyDescent="0.3">
      <c r="A260" s="210">
        <f t="shared" si="130"/>
        <v>0</v>
      </c>
      <c r="B260" s="210">
        <f t="shared" si="131"/>
        <v>0</v>
      </c>
      <c r="C260" s="210">
        <f t="shared" si="114"/>
        <v>0</v>
      </c>
      <c r="D260" s="210">
        <f t="shared" si="132"/>
        <v>0</v>
      </c>
      <c r="E260" s="210">
        <f t="shared" si="115"/>
        <v>0</v>
      </c>
      <c r="F260" s="297">
        <v>70</v>
      </c>
      <c r="G260" s="210">
        <f t="shared" si="133"/>
        <v>71</v>
      </c>
      <c r="I260" s="210">
        <v>25</v>
      </c>
      <c r="J260" s="295"/>
      <c r="K260" s="295">
        <f t="shared" si="134"/>
        <v>0</v>
      </c>
      <c r="L260" s="295"/>
      <c r="M260" s="295"/>
      <c r="N260" s="295"/>
      <c r="O260" s="295"/>
      <c r="P260" s="295"/>
      <c r="Q260" s="295"/>
      <c r="R260" s="295"/>
      <c r="S260" s="295"/>
      <c r="T260" s="295">
        <f t="shared" si="116"/>
        <v>0</v>
      </c>
      <c r="U260" s="295"/>
      <c r="V260" s="295"/>
      <c r="W260" s="295"/>
      <c r="X260" s="295"/>
      <c r="Y260" s="295"/>
      <c r="Z260" s="295"/>
      <c r="AA260" s="295"/>
      <c r="AB260" s="210">
        <f t="shared" si="117"/>
        <v>0</v>
      </c>
      <c r="AC260" s="210">
        <f t="shared" si="118"/>
        <v>0</v>
      </c>
      <c r="AD260" s="210">
        <f t="shared" si="119"/>
        <v>0</v>
      </c>
      <c r="AE260" s="210">
        <f t="shared" si="120"/>
        <v>0</v>
      </c>
      <c r="AF260" s="227">
        <f t="shared" si="121"/>
        <v>0.05</v>
      </c>
      <c r="AG260" s="227">
        <f>ROUNDDOWN(SUM(AF$191:AF260)-SUM(AG$191:AG259),0)*$A260</f>
        <v>0</v>
      </c>
      <c r="AH260" s="227">
        <f t="shared" si="122"/>
        <v>0</v>
      </c>
      <c r="AI260" s="210">
        <f t="shared" si="123"/>
        <v>0</v>
      </c>
      <c r="AJ260" s="210">
        <f t="shared" si="124"/>
        <v>0</v>
      </c>
      <c r="AK260" s="210">
        <f t="shared" si="125"/>
        <v>0</v>
      </c>
      <c r="AL260" s="210">
        <f t="shared" si="126"/>
        <v>0</v>
      </c>
      <c r="AM260" s="210">
        <f t="shared" si="127"/>
        <v>0.05</v>
      </c>
      <c r="AN260" s="227">
        <f>ROUNDDOWN(SUM(AM$191:AM260)-SUM(AN$191:AN259),0)*$A260</f>
        <v>0</v>
      </c>
      <c r="AO260" s="227">
        <f t="shared" si="128"/>
        <v>0</v>
      </c>
      <c r="AP260" s="210">
        <f t="shared" si="84"/>
        <v>0.25002761412179492</v>
      </c>
      <c r="AQ260" s="210">
        <f t="shared" si="85"/>
        <v>0.25002761412179492</v>
      </c>
      <c r="AR260" s="210">
        <f t="shared" si="86"/>
        <v>0.25002761412179492</v>
      </c>
      <c r="AS260" s="210">
        <f t="shared" si="112"/>
        <v>0.25002761412179492</v>
      </c>
      <c r="AT260" s="210">
        <f t="shared" si="113"/>
        <v>0.25002761412179492</v>
      </c>
      <c r="AU260" s="227">
        <f t="shared" si="129"/>
        <v>3.9995582228484339</v>
      </c>
      <c r="AV260" s="227">
        <f t="shared" si="135"/>
        <v>1</v>
      </c>
      <c r="AW260" s="227">
        <f t="shared" si="136"/>
        <v>1</v>
      </c>
      <c r="AX260" s="227">
        <f t="shared" si="137"/>
        <v>1</v>
      </c>
      <c r="AY260" s="227">
        <f t="shared" si="138"/>
        <v>1</v>
      </c>
      <c r="AZ260" s="227">
        <f t="shared" si="139"/>
        <v>1</v>
      </c>
      <c r="BB260" s="227"/>
      <c r="BC260" s="227"/>
      <c r="BD260" s="227"/>
      <c r="BE260" s="227"/>
      <c r="BF260" s="227"/>
      <c r="BG260" s="227"/>
      <c r="BH260" s="227"/>
      <c r="BI260" s="227"/>
      <c r="BJ260" s="227"/>
      <c r="BK260" s="227"/>
    </row>
    <row r="261" spans="1:63" x14ac:dyDescent="0.3">
      <c r="A261" s="210">
        <f t="shared" si="130"/>
        <v>0</v>
      </c>
      <c r="B261" s="210">
        <f t="shared" si="131"/>
        <v>0</v>
      </c>
      <c r="C261" s="210">
        <f t="shared" si="114"/>
        <v>0</v>
      </c>
      <c r="D261" s="210">
        <f t="shared" si="132"/>
        <v>0</v>
      </c>
      <c r="E261" s="210">
        <f t="shared" si="115"/>
        <v>0</v>
      </c>
      <c r="F261" s="297">
        <v>71</v>
      </c>
      <c r="G261" s="210">
        <f t="shared" si="133"/>
        <v>72</v>
      </c>
      <c r="I261" s="210">
        <v>25</v>
      </c>
      <c r="J261" s="295"/>
      <c r="K261" s="295">
        <f t="shared" si="134"/>
        <v>0</v>
      </c>
      <c r="L261" s="295"/>
      <c r="M261" s="295"/>
      <c r="N261" s="295"/>
      <c r="O261" s="295"/>
      <c r="P261" s="295"/>
      <c r="Q261" s="295"/>
      <c r="R261" s="295"/>
      <c r="S261" s="295"/>
      <c r="T261" s="295">
        <f t="shared" si="116"/>
        <v>0</v>
      </c>
      <c r="U261" s="295"/>
      <c r="V261" s="295"/>
      <c r="W261" s="295"/>
      <c r="X261" s="295"/>
      <c r="Y261" s="295"/>
      <c r="Z261" s="295"/>
      <c r="AA261" s="295"/>
      <c r="AB261" s="210">
        <f t="shared" si="117"/>
        <v>0</v>
      </c>
      <c r="AC261" s="210">
        <f t="shared" si="118"/>
        <v>0</v>
      </c>
      <c r="AD261" s="210">
        <f t="shared" si="119"/>
        <v>0</v>
      </c>
      <c r="AE261" s="210">
        <f t="shared" si="120"/>
        <v>0</v>
      </c>
      <c r="AF261" s="227">
        <f t="shared" si="121"/>
        <v>0.05</v>
      </c>
      <c r="AG261" s="227">
        <f>ROUNDDOWN(SUM(AF$191:AF261)-SUM(AG$191:AG260),0)*$A261</f>
        <v>0</v>
      </c>
      <c r="AH261" s="227">
        <f t="shared" si="122"/>
        <v>0</v>
      </c>
      <c r="AI261" s="210">
        <f t="shared" si="123"/>
        <v>0</v>
      </c>
      <c r="AJ261" s="210">
        <f t="shared" si="124"/>
        <v>0</v>
      </c>
      <c r="AK261" s="210">
        <f t="shared" si="125"/>
        <v>0</v>
      </c>
      <c r="AL261" s="210">
        <f t="shared" si="126"/>
        <v>0</v>
      </c>
      <c r="AM261" s="210">
        <f t="shared" si="127"/>
        <v>0.05</v>
      </c>
      <c r="AN261" s="227">
        <f>ROUNDDOWN(SUM(AM$191:AM261)-SUM(AN$191:AN260),0)*$A261</f>
        <v>0</v>
      </c>
      <c r="AO261" s="227">
        <f t="shared" si="128"/>
        <v>0</v>
      </c>
      <c r="AP261" s="210">
        <f t="shared" si="84"/>
        <v>0.24512511188411268</v>
      </c>
      <c r="AQ261" s="210">
        <f t="shared" si="85"/>
        <v>0.24512511188411268</v>
      </c>
      <c r="AR261" s="210">
        <f t="shared" si="86"/>
        <v>0.24512511188411268</v>
      </c>
      <c r="AS261" s="210">
        <f t="shared" si="112"/>
        <v>0.24512511188411268</v>
      </c>
      <c r="AT261" s="210">
        <f t="shared" si="113"/>
        <v>0.24512511188411268</v>
      </c>
      <c r="AU261" s="227">
        <f t="shared" si="129"/>
        <v>4.0795493873054021</v>
      </c>
      <c r="AV261" s="227">
        <f t="shared" si="135"/>
        <v>1</v>
      </c>
      <c r="AW261" s="227">
        <f t="shared" si="136"/>
        <v>1</v>
      </c>
      <c r="AX261" s="227">
        <f t="shared" si="137"/>
        <v>1</v>
      </c>
      <c r="AY261" s="227">
        <f t="shared" si="138"/>
        <v>1</v>
      </c>
      <c r="AZ261" s="227">
        <f t="shared" si="139"/>
        <v>1</v>
      </c>
      <c r="BB261" s="227"/>
      <c r="BC261" s="227"/>
      <c r="BD261" s="227"/>
      <c r="BE261" s="227"/>
      <c r="BF261" s="227"/>
      <c r="BG261" s="227"/>
      <c r="BH261" s="227"/>
      <c r="BI261" s="227"/>
      <c r="BJ261" s="227"/>
      <c r="BK261" s="227"/>
    </row>
    <row r="262" spans="1:63" x14ac:dyDescent="0.3">
      <c r="A262" s="210">
        <f t="shared" si="130"/>
        <v>0</v>
      </c>
      <c r="B262" s="210">
        <f t="shared" si="131"/>
        <v>0</v>
      </c>
      <c r="C262" s="210">
        <f t="shared" si="114"/>
        <v>0</v>
      </c>
      <c r="D262" s="210">
        <f t="shared" si="132"/>
        <v>0</v>
      </c>
      <c r="E262" s="210">
        <f t="shared" si="115"/>
        <v>0</v>
      </c>
      <c r="F262" s="297">
        <v>72</v>
      </c>
      <c r="G262" s="210">
        <f t="shared" si="133"/>
        <v>73</v>
      </c>
      <c r="I262" s="210">
        <v>25</v>
      </c>
      <c r="J262" s="295"/>
      <c r="K262" s="295">
        <f t="shared" si="134"/>
        <v>0</v>
      </c>
      <c r="L262" s="295"/>
      <c r="M262" s="295"/>
      <c r="N262" s="295"/>
      <c r="O262" s="295"/>
      <c r="P262" s="295"/>
      <c r="Q262" s="295"/>
      <c r="R262" s="295"/>
      <c r="S262" s="295"/>
      <c r="T262" s="295">
        <f t="shared" si="116"/>
        <v>0</v>
      </c>
      <c r="U262" s="295"/>
      <c r="V262" s="295"/>
      <c r="W262" s="295"/>
      <c r="X262" s="295"/>
      <c r="Y262" s="295"/>
      <c r="Z262" s="295"/>
      <c r="AA262" s="295"/>
      <c r="AB262" s="210">
        <f t="shared" si="117"/>
        <v>0</v>
      </c>
      <c r="AC262" s="210">
        <f t="shared" si="118"/>
        <v>0</v>
      </c>
      <c r="AD262" s="210">
        <f t="shared" si="119"/>
        <v>0</v>
      </c>
      <c r="AE262" s="210">
        <f t="shared" si="120"/>
        <v>0</v>
      </c>
      <c r="AF262" s="227">
        <f t="shared" si="121"/>
        <v>0.05</v>
      </c>
      <c r="AG262" s="227">
        <f>ROUNDDOWN(SUM(AF$191:AF262)-SUM(AG$191:AG261),0)*$A262</f>
        <v>0</v>
      </c>
      <c r="AH262" s="227">
        <f t="shared" si="122"/>
        <v>0</v>
      </c>
      <c r="AI262" s="210">
        <f t="shared" si="123"/>
        <v>0</v>
      </c>
      <c r="AJ262" s="210">
        <f t="shared" si="124"/>
        <v>0</v>
      </c>
      <c r="AK262" s="210">
        <f t="shared" si="125"/>
        <v>0</v>
      </c>
      <c r="AL262" s="210">
        <f t="shared" si="126"/>
        <v>0</v>
      </c>
      <c r="AM262" s="210">
        <f t="shared" si="127"/>
        <v>0.05</v>
      </c>
      <c r="AN262" s="227">
        <f>ROUNDDOWN(SUM(AM$191:AM262)-SUM(AN$191:AN261),0)*$A262</f>
        <v>0</v>
      </c>
      <c r="AO262" s="227">
        <f t="shared" si="128"/>
        <v>0</v>
      </c>
      <c r="AP262" s="210">
        <f t="shared" si="84"/>
        <v>0.24031873714128693</v>
      </c>
      <c r="AQ262" s="210">
        <f t="shared" si="85"/>
        <v>0.24031873714128693</v>
      </c>
      <c r="AR262" s="210">
        <f t="shared" si="86"/>
        <v>0.24031873714128693</v>
      </c>
      <c r="AS262" s="210">
        <f t="shared" si="112"/>
        <v>0.24031873714128693</v>
      </c>
      <c r="AT262" s="210">
        <f t="shared" si="113"/>
        <v>0.24031873714128693</v>
      </c>
      <c r="AU262" s="227">
        <f t="shared" si="129"/>
        <v>4.1611403750515104</v>
      </c>
      <c r="AV262" s="227">
        <f t="shared" si="135"/>
        <v>1</v>
      </c>
      <c r="AW262" s="227">
        <f t="shared" si="136"/>
        <v>1</v>
      </c>
      <c r="AX262" s="227">
        <f t="shared" si="137"/>
        <v>1</v>
      </c>
      <c r="AY262" s="227">
        <f t="shared" si="138"/>
        <v>1</v>
      </c>
      <c r="AZ262" s="227">
        <f t="shared" si="139"/>
        <v>1</v>
      </c>
      <c r="BB262" s="227"/>
      <c r="BC262" s="227"/>
      <c r="BD262" s="227"/>
      <c r="BE262" s="227"/>
      <c r="BF262" s="227"/>
      <c r="BG262" s="227"/>
      <c r="BH262" s="227"/>
      <c r="BI262" s="227"/>
      <c r="BJ262" s="227"/>
      <c r="BK262" s="227"/>
    </row>
    <row r="263" spans="1:63" x14ac:dyDescent="0.3">
      <c r="A263" s="210">
        <f t="shared" si="130"/>
        <v>0</v>
      </c>
      <c r="B263" s="210">
        <f t="shared" si="131"/>
        <v>0</v>
      </c>
      <c r="C263" s="210">
        <f t="shared" si="114"/>
        <v>0</v>
      </c>
      <c r="D263" s="210">
        <f t="shared" si="132"/>
        <v>0</v>
      </c>
      <c r="E263" s="210">
        <f t="shared" si="115"/>
        <v>0</v>
      </c>
      <c r="F263" s="297">
        <v>73</v>
      </c>
      <c r="G263" s="210">
        <f t="shared" si="133"/>
        <v>74</v>
      </c>
      <c r="I263" s="210">
        <v>25</v>
      </c>
      <c r="J263" s="295"/>
      <c r="K263" s="295">
        <f t="shared" si="134"/>
        <v>0</v>
      </c>
      <c r="L263" s="295"/>
      <c r="M263" s="295"/>
      <c r="N263" s="295"/>
      <c r="O263" s="295"/>
      <c r="P263" s="295"/>
      <c r="Q263" s="295"/>
      <c r="R263" s="295"/>
      <c r="S263" s="295"/>
      <c r="T263" s="295">
        <f t="shared" si="116"/>
        <v>0</v>
      </c>
      <c r="U263" s="295"/>
      <c r="V263" s="295"/>
      <c r="W263" s="295"/>
      <c r="X263" s="295"/>
      <c r="Y263" s="295"/>
      <c r="Z263" s="295"/>
      <c r="AA263" s="295"/>
      <c r="AB263" s="210">
        <f t="shared" si="117"/>
        <v>0</v>
      </c>
      <c r="AC263" s="210">
        <f t="shared" si="118"/>
        <v>0</v>
      </c>
      <c r="AD263" s="210">
        <f t="shared" si="119"/>
        <v>0</v>
      </c>
      <c r="AE263" s="210">
        <f t="shared" si="120"/>
        <v>0</v>
      </c>
      <c r="AF263" s="227">
        <f t="shared" si="121"/>
        <v>0.05</v>
      </c>
      <c r="AG263" s="227">
        <f>ROUNDDOWN(SUM(AF$191:AF263)-SUM(AG$191:AG262),0)*$A263</f>
        <v>0</v>
      </c>
      <c r="AH263" s="227">
        <f t="shared" si="122"/>
        <v>0</v>
      </c>
      <c r="AI263" s="210">
        <f t="shared" si="123"/>
        <v>0</v>
      </c>
      <c r="AJ263" s="210">
        <f t="shared" si="124"/>
        <v>0</v>
      </c>
      <c r="AK263" s="210">
        <f t="shared" si="125"/>
        <v>0</v>
      </c>
      <c r="AL263" s="210">
        <f t="shared" si="126"/>
        <v>0</v>
      </c>
      <c r="AM263" s="210">
        <f t="shared" si="127"/>
        <v>0.05</v>
      </c>
      <c r="AN263" s="227">
        <f>ROUNDDOWN(SUM(AM$191:AM263)-SUM(AN$191:AN262),0)*$A263</f>
        <v>0</v>
      </c>
      <c r="AO263" s="227">
        <f t="shared" si="128"/>
        <v>0</v>
      </c>
      <c r="AP263" s="210">
        <f t="shared" si="84"/>
        <v>0.2356066050404774</v>
      </c>
      <c r="AQ263" s="210">
        <f t="shared" si="85"/>
        <v>0.2356066050404774</v>
      </c>
      <c r="AR263" s="210">
        <f t="shared" si="86"/>
        <v>0.2356066050404774</v>
      </c>
      <c r="AS263" s="210">
        <f t="shared" si="112"/>
        <v>0.2356066050404774</v>
      </c>
      <c r="AT263" s="210">
        <f t="shared" si="113"/>
        <v>0.2356066050404774</v>
      </c>
      <c r="AU263" s="227">
        <f t="shared" si="129"/>
        <v>4.2443631825525401</v>
      </c>
      <c r="AV263" s="227">
        <f t="shared" si="135"/>
        <v>1</v>
      </c>
      <c r="AW263" s="227">
        <f t="shared" si="136"/>
        <v>1</v>
      </c>
      <c r="AX263" s="227">
        <f t="shared" si="137"/>
        <v>1</v>
      </c>
      <c r="AY263" s="227">
        <f t="shared" si="138"/>
        <v>1</v>
      </c>
      <c r="AZ263" s="227">
        <f t="shared" si="139"/>
        <v>1</v>
      </c>
      <c r="BB263" s="227"/>
      <c r="BC263" s="227"/>
      <c r="BD263" s="227"/>
      <c r="BE263" s="227"/>
      <c r="BF263" s="227"/>
      <c r="BG263" s="227"/>
      <c r="BH263" s="227"/>
      <c r="BI263" s="227"/>
      <c r="BJ263" s="227"/>
      <c r="BK263" s="227"/>
    </row>
    <row r="264" spans="1:63" x14ac:dyDescent="0.3">
      <c r="A264" s="210">
        <f t="shared" si="130"/>
        <v>0</v>
      </c>
      <c r="B264" s="210">
        <f t="shared" si="131"/>
        <v>0</v>
      </c>
      <c r="C264" s="210">
        <f t="shared" si="114"/>
        <v>0</v>
      </c>
      <c r="D264" s="210">
        <f t="shared" si="132"/>
        <v>0</v>
      </c>
      <c r="E264" s="210">
        <f t="shared" si="115"/>
        <v>0</v>
      </c>
      <c r="F264" s="297">
        <v>74</v>
      </c>
      <c r="G264" s="210">
        <f t="shared" si="133"/>
        <v>75</v>
      </c>
      <c r="I264" s="210">
        <v>25</v>
      </c>
      <c r="J264" s="295"/>
      <c r="K264" s="295">
        <f t="shared" si="134"/>
        <v>0</v>
      </c>
      <c r="L264" s="295"/>
      <c r="M264" s="295"/>
      <c r="N264" s="295"/>
      <c r="O264" s="295"/>
      <c r="P264" s="295"/>
      <c r="Q264" s="295"/>
      <c r="R264" s="295"/>
      <c r="S264" s="295"/>
      <c r="T264" s="295">
        <f t="shared" si="116"/>
        <v>0</v>
      </c>
      <c r="U264" s="295"/>
      <c r="V264" s="295"/>
      <c r="W264" s="295"/>
      <c r="X264" s="295"/>
      <c r="Y264" s="295"/>
      <c r="Z264" s="295"/>
      <c r="AA264" s="295"/>
      <c r="AB264" s="210">
        <f t="shared" si="117"/>
        <v>0</v>
      </c>
      <c r="AC264" s="210">
        <f t="shared" si="118"/>
        <v>0</v>
      </c>
      <c r="AD264" s="210">
        <f t="shared" si="119"/>
        <v>0</v>
      </c>
      <c r="AE264" s="210">
        <f t="shared" si="120"/>
        <v>0</v>
      </c>
      <c r="AF264" s="227">
        <f t="shared" si="121"/>
        <v>0.05</v>
      </c>
      <c r="AG264" s="227">
        <f>ROUNDDOWN(SUM(AF$191:AF264)-SUM(AG$191:AG263),0)*$A264</f>
        <v>0</v>
      </c>
      <c r="AH264" s="227">
        <f t="shared" si="122"/>
        <v>0</v>
      </c>
      <c r="AI264" s="210">
        <f t="shared" si="123"/>
        <v>0</v>
      </c>
      <c r="AJ264" s="210">
        <f t="shared" si="124"/>
        <v>0</v>
      </c>
      <c r="AK264" s="210">
        <f t="shared" si="125"/>
        <v>0</v>
      </c>
      <c r="AL264" s="210">
        <f t="shared" si="126"/>
        <v>0</v>
      </c>
      <c r="AM264" s="210">
        <f t="shared" si="127"/>
        <v>0.05</v>
      </c>
      <c r="AN264" s="227">
        <f>ROUNDDOWN(SUM(AM$191:AM264)-SUM(AN$191:AN263),0)*$A264</f>
        <v>0</v>
      </c>
      <c r="AO264" s="227">
        <f t="shared" si="128"/>
        <v>0</v>
      </c>
      <c r="AP264" s="210">
        <f t="shared" ref="AP264:AP291" si="140">AV264/$AU264</f>
        <v>0.23098686768674251</v>
      </c>
      <c r="AQ264" s="210">
        <f t="shared" ref="AQ264:AQ291" si="141">AW264/$AU264</f>
        <v>0.23098686768674251</v>
      </c>
      <c r="AR264" s="210">
        <f t="shared" ref="AR264:AR291" si="142">AX264/$AU264</f>
        <v>0.23098686768674251</v>
      </c>
      <c r="AS264" s="210">
        <f t="shared" ref="AS264:AS291" si="143">AY264/$AU264</f>
        <v>0.23098686768674251</v>
      </c>
      <c r="AT264" s="210">
        <f t="shared" ref="AT264:AT291" si="144">AZ264/$AU264</f>
        <v>0.23098686768674251</v>
      </c>
      <c r="AU264" s="227">
        <f t="shared" si="129"/>
        <v>4.3292504462035915</v>
      </c>
      <c r="AV264" s="227">
        <f t="shared" si="135"/>
        <v>1</v>
      </c>
      <c r="AW264" s="227">
        <f t="shared" si="136"/>
        <v>1</v>
      </c>
      <c r="AX264" s="227">
        <f t="shared" si="137"/>
        <v>1</v>
      </c>
      <c r="AY264" s="227">
        <f t="shared" si="138"/>
        <v>1</v>
      </c>
      <c r="AZ264" s="227">
        <f t="shared" si="139"/>
        <v>1</v>
      </c>
      <c r="BB264" s="227"/>
      <c r="BC264" s="227"/>
      <c r="BD264" s="227"/>
      <c r="BE264" s="227"/>
      <c r="BF264" s="227"/>
      <c r="BG264" s="227"/>
      <c r="BH264" s="227"/>
      <c r="BI264" s="227"/>
      <c r="BJ264" s="227"/>
      <c r="BK264" s="227"/>
    </row>
    <row r="265" spans="1:63" x14ac:dyDescent="0.3">
      <c r="A265" s="210">
        <f t="shared" si="130"/>
        <v>0</v>
      </c>
      <c r="B265" s="210">
        <f t="shared" si="131"/>
        <v>0</v>
      </c>
      <c r="C265" s="210">
        <f t="shared" si="114"/>
        <v>0</v>
      </c>
      <c r="D265" s="210">
        <f t="shared" si="132"/>
        <v>0</v>
      </c>
      <c r="E265" s="210">
        <f t="shared" si="115"/>
        <v>0</v>
      </c>
      <c r="F265" s="297">
        <v>75</v>
      </c>
      <c r="G265" s="210">
        <f t="shared" si="133"/>
        <v>76</v>
      </c>
      <c r="I265" s="210">
        <v>25</v>
      </c>
      <c r="J265" s="295"/>
      <c r="K265" s="295">
        <f t="shared" si="134"/>
        <v>0</v>
      </c>
      <c r="L265" s="295"/>
      <c r="M265" s="295"/>
      <c r="N265" s="295"/>
      <c r="O265" s="295"/>
      <c r="P265" s="295"/>
      <c r="Q265" s="295"/>
      <c r="R265" s="295"/>
      <c r="S265" s="295"/>
      <c r="T265" s="295">
        <f t="shared" si="116"/>
        <v>0</v>
      </c>
      <c r="U265" s="295"/>
      <c r="V265" s="295"/>
      <c r="W265" s="295"/>
      <c r="X265" s="295"/>
      <c r="Y265" s="295"/>
      <c r="Z265" s="295"/>
      <c r="AA265" s="295"/>
      <c r="AB265" s="210">
        <f t="shared" si="117"/>
        <v>0</v>
      </c>
      <c r="AC265" s="210">
        <f t="shared" si="118"/>
        <v>0</v>
      </c>
      <c r="AD265" s="210">
        <f t="shared" si="119"/>
        <v>0</v>
      </c>
      <c r="AE265" s="210">
        <f t="shared" si="120"/>
        <v>0</v>
      </c>
      <c r="AF265" s="227">
        <f t="shared" si="121"/>
        <v>0.05</v>
      </c>
      <c r="AG265" s="227">
        <f>ROUNDDOWN(SUM(AF$191:AF265)-SUM(AG$191:AG264),0)*$A265</f>
        <v>0</v>
      </c>
      <c r="AH265" s="227">
        <f t="shared" si="122"/>
        <v>0</v>
      </c>
      <c r="AI265" s="210">
        <f t="shared" si="123"/>
        <v>0</v>
      </c>
      <c r="AJ265" s="210">
        <f t="shared" si="124"/>
        <v>0</v>
      </c>
      <c r="AK265" s="210">
        <f t="shared" si="125"/>
        <v>0</v>
      </c>
      <c r="AL265" s="210">
        <f t="shared" si="126"/>
        <v>0</v>
      </c>
      <c r="AM265" s="210">
        <f t="shared" si="127"/>
        <v>0.05</v>
      </c>
      <c r="AN265" s="227">
        <f>ROUNDDOWN(SUM(AM$191:AM265)-SUM(AN$191:AN264),0)*$A265</f>
        <v>0</v>
      </c>
      <c r="AO265" s="227">
        <f t="shared" si="128"/>
        <v>0</v>
      </c>
      <c r="AP265" s="210">
        <f t="shared" si="140"/>
        <v>0.22645771341837509</v>
      </c>
      <c r="AQ265" s="210">
        <f t="shared" si="141"/>
        <v>0.22645771341837509</v>
      </c>
      <c r="AR265" s="210">
        <f t="shared" si="142"/>
        <v>0.22645771341837509</v>
      </c>
      <c r="AS265" s="210">
        <f t="shared" si="143"/>
        <v>0.22645771341837509</v>
      </c>
      <c r="AT265" s="210">
        <f t="shared" si="144"/>
        <v>0.22645771341837509</v>
      </c>
      <c r="AU265" s="227">
        <f t="shared" si="129"/>
        <v>4.4158354551276622</v>
      </c>
      <c r="AV265" s="227">
        <f t="shared" si="135"/>
        <v>1</v>
      </c>
      <c r="AW265" s="227">
        <f t="shared" si="136"/>
        <v>1</v>
      </c>
      <c r="AX265" s="227">
        <f t="shared" si="137"/>
        <v>1</v>
      </c>
      <c r="AY265" s="227">
        <f t="shared" si="138"/>
        <v>1</v>
      </c>
      <c r="AZ265" s="227">
        <f t="shared" si="139"/>
        <v>1</v>
      </c>
      <c r="BB265" s="227"/>
      <c r="BC265" s="227"/>
      <c r="BD265" s="227"/>
      <c r="BE265" s="227"/>
      <c r="BF265" s="227"/>
      <c r="BG265" s="227"/>
      <c r="BH265" s="227"/>
      <c r="BI265" s="227"/>
      <c r="BJ265" s="227"/>
      <c r="BK265" s="227"/>
    </row>
    <row r="266" spans="1:63" x14ac:dyDescent="0.3">
      <c r="A266" s="210">
        <f t="shared" si="130"/>
        <v>0</v>
      </c>
      <c r="B266" s="210">
        <f t="shared" si="131"/>
        <v>0</v>
      </c>
      <c r="C266" s="210">
        <f t="shared" si="114"/>
        <v>0</v>
      </c>
      <c r="D266" s="210">
        <f t="shared" si="132"/>
        <v>0</v>
      </c>
      <c r="E266" s="210">
        <f t="shared" si="115"/>
        <v>0</v>
      </c>
      <c r="F266" s="297">
        <v>76</v>
      </c>
      <c r="G266" s="210">
        <f t="shared" si="133"/>
        <v>77</v>
      </c>
      <c r="I266" s="210">
        <v>25</v>
      </c>
      <c r="J266" s="295"/>
      <c r="K266" s="295">
        <f t="shared" si="134"/>
        <v>0</v>
      </c>
      <c r="L266" s="295"/>
      <c r="M266" s="295"/>
      <c r="N266" s="295"/>
      <c r="O266" s="295"/>
      <c r="P266" s="295"/>
      <c r="Q266" s="295"/>
      <c r="R266" s="295"/>
      <c r="S266" s="295"/>
      <c r="T266" s="295">
        <f t="shared" si="116"/>
        <v>0</v>
      </c>
      <c r="U266" s="295"/>
      <c r="V266" s="295"/>
      <c r="W266" s="295"/>
      <c r="X266" s="295"/>
      <c r="Y266" s="295"/>
      <c r="Z266" s="295"/>
      <c r="AA266" s="295"/>
      <c r="AB266" s="210">
        <f t="shared" si="117"/>
        <v>0</v>
      </c>
      <c r="AC266" s="210">
        <f t="shared" si="118"/>
        <v>0</v>
      </c>
      <c r="AD266" s="210">
        <f t="shared" si="119"/>
        <v>0</v>
      </c>
      <c r="AE266" s="210">
        <f t="shared" si="120"/>
        <v>0</v>
      </c>
      <c r="AF266" s="227">
        <f t="shared" si="121"/>
        <v>0.05</v>
      </c>
      <c r="AG266" s="227">
        <f>ROUNDDOWN(SUM(AF$191:AF266)-SUM(AG$191:AG265),0)*$A266</f>
        <v>0</v>
      </c>
      <c r="AH266" s="227">
        <f t="shared" si="122"/>
        <v>0</v>
      </c>
      <c r="AI266" s="210">
        <f t="shared" si="123"/>
        <v>0</v>
      </c>
      <c r="AJ266" s="210">
        <f t="shared" si="124"/>
        <v>0</v>
      </c>
      <c r="AK266" s="210">
        <f t="shared" si="125"/>
        <v>0</v>
      </c>
      <c r="AL266" s="210">
        <f t="shared" si="126"/>
        <v>0</v>
      </c>
      <c r="AM266" s="210">
        <f t="shared" si="127"/>
        <v>0.05</v>
      </c>
      <c r="AN266" s="227">
        <f>ROUNDDOWN(SUM(AM$191:AM266)-SUM(AN$191:AN265),0)*$A266</f>
        <v>0</v>
      </c>
      <c r="AO266" s="227">
        <f t="shared" si="128"/>
        <v>0</v>
      </c>
      <c r="AP266" s="210">
        <f t="shared" si="140"/>
        <v>0.22201736609644609</v>
      </c>
      <c r="AQ266" s="210">
        <f t="shared" si="141"/>
        <v>0.22201736609644609</v>
      </c>
      <c r="AR266" s="210">
        <f t="shared" si="142"/>
        <v>0.22201736609644609</v>
      </c>
      <c r="AS266" s="210">
        <f t="shared" si="143"/>
        <v>0.22201736609644609</v>
      </c>
      <c r="AT266" s="210">
        <f t="shared" si="144"/>
        <v>0.22201736609644609</v>
      </c>
      <c r="AU266" s="227">
        <f t="shared" si="129"/>
        <v>4.5041521642302165</v>
      </c>
      <c r="AV266" s="227">
        <f t="shared" si="135"/>
        <v>1</v>
      </c>
      <c r="AW266" s="227">
        <f t="shared" si="136"/>
        <v>1</v>
      </c>
      <c r="AX266" s="227">
        <f t="shared" si="137"/>
        <v>1</v>
      </c>
      <c r="AY266" s="227">
        <f t="shared" si="138"/>
        <v>1</v>
      </c>
      <c r="AZ266" s="227">
        <f t="shared" si="139"/>
        <v>1</v>
      </c>
      <c r="BB266" s="227"/>
      <c r="BC266" s="227"/>
      <c r="BD266" s="227"/>
      <c r="BE266" s="227"/>
      <c r="BF266" s="227"/>
      <c r="BG266" s="227"/>
      <c r="BH266" s="227"/>
      <c r="BI266" s="227"/>
      <c r="BJ266" s="227"/>
      <c r="BK266" s="227"/>
    </row>
    <row r="267" spans="1:63" x14ac:dyDescent="0.3">
      <c r="A267" s="210">
        <f t="shared" si="130"/>
        <v>0</v>
      </c>
      <c r="B267" s="210">
        <f t="shared" si="131"/>
        <v>0</v>
      </c>
      <c r="C267" s="210">
        <f t="shared" si="114"/>
        <v>0</v>
      </c>
      <c r="D267" s="210">
        <f t="shared" si="132"/>
        <v>0</v>
      </c>
      <c r="E267" s="210">
        <f t="shared" si="115"/>
        <v>0</v>
      </c>
      <c r="F267" s="297">
        <v>77</v>
      </c>
      <c r="G267" s="210">
        <f t="shared" si="133"/>
        <v>78</v>
      </c>
      <c r="I267" s="210">
        <v>25</v>
      </c>
      <c r="J267" s="295"/>
      <c r="K267" s="295">
        <f t="shared" si="134"/>
        <v>0</v>
      </c>
      <c r="L267" s="295"/>
      <c r="M267" s="295"/>
      <c r="N267" s="295"/>
      <c r="O267" s="295"/>
      <c r="P267" s="295"/>
      <c r="Q267" s="295"/>
      <c r="R267" s="295"/>
      <c r="S267" s="295"/>
      <c r="T267" s="295">
        <f t="shared" si="116"/>
        <v>0</v>
      </c>
      <c r="U267" s="295"/>
      <c r="V267" s="295"/>
      <c r="W267" s="295"/>
      <c r="X267" s="295"/>
      <c r="Y267" s="295"/>
      <c r="Z267" s="295"/>
      <c r="AA267" s="295"/>
      <c r="AB267" s="210">
        <f t="shared" si="117"/>
        <v>0</v>
      </c>
      <c r="AC267" s="210">
        <f t="shared" si="118"/>
        <v>0</v>
      </c>
      <c r="AD267" s="210">
        <f t="shared" si="119"/>
        <v>0</v>
      </c>
      <c r="AE267" s="210">
        <f t="shared" si="120"/>
        <v>0</v>
      </c>
      <c r="AF267" s="227">
        <f t="shared" si="121"/>
        <v>0.05</v>
      </c>
      <c r="AG267" s="227">
        <f>ROUNDDOWN(SUM(AF$191:AF267)-SUM(AG$191:AG266),0)*$A267</f>
        <v>0</v>
      </c>
      <c r="AH267" s="227">
        <f t="shared" si="122"/>
        <v>0</v>
      </c>
      <c r="AI267" s="210">
        <f t="shared" si="123"/>
        <v>0</v>
      </c>
      <c r="AJ267" s="210">
        <f t="shared" si="124"/>
        <v>0</v>
      </c>
      <c r="AK267" s="210">
        <f t="shared" si="125"/>
        <v>0</v>
      </c>
      <c r="AL267" s="210">
        <f t="shared" si="126"/>
        <v>0</v>
      </c>
      <c r="AM267" s="210">
        <f t="shared" si="127"/>
        <v>0.05</v>
      </c>
      <c r="AN267" s="227">
        <f>ROUNDDOWN(SUM(AM$191:AM267)-SUM(AN$191:AN266),0)*$A267</f>
        <v>0</v>
      </c>
      <c r="AO267" s="227">
        <f t="shared" si="128"/>
        <v>0</v>
      </c>
      <c r="AP267" s="210">
        <f t="shared" si="140"/>
        <v>0.2176640844082805</v>
      </c>
      <c r="AQ267" s="210">
        <f t="shared" si="141"/>
        <v>0.2176640844082805</v>
      </c>
      <c r="AR267" s="210">
        <f t="shared" si="142"/>
        <v>0.2176640844082805</v>
      </c>
      <c r="AS267" s="210">
        <f t="shared" si="143"/>
        <v>0.2176640844082805</v>
      </c>
      <c r="AT267" s="210">
        <f t="shared" si="144"/>
        <v>0.2176640844082805</v>
      </c>
      <c r="AU267" s="227">
        <f t="shared" si="129"/>
        <v>4.5942352075148207</v>
      </c>
      <c r="AV267" s="227">
        <f t="shared" si="135"/>
        <v>1</v>
      </c>
      <c r="AW267" s="227">
        <f t="shared" si="136"/>
        <v>1</v>
      </c>
      <c r="AX267" s="227">
        <f t="shared" si="137"/>
        <v>1</v>
      </c>
      <c r="AY267" s="227">
        <f t="shared" si="138"/>
        <v>1</v>
      </c>
      <c r="AZ267" s="227">
        <f t="shared" si="139"/>
        <v>1</v>
      </c>
      <c r="BB267" s="227"/>
      <c r="BC267" s="227"/>
      <c r="BD267" s="227"/>
      <c r="BE267" s="227"/>
      <c r="BF267" s="227"/>
      <c r="BG267" s="227"/>
      <c r="BH267" s="227"/>
      <c r="BI267" s="227"/>
      <c r="BJ267" s="227"/>
      <c r="BK267" s="227"/>
    </row>
    <row r="268" spans="1:63" x14ac:dyDescent="0.3">
      <c r="A268" s="210">
        <f t="shared" si="130"/>
        <v>0</v>
      </c>
      <c r="B268" s="210">
        <f t="shared" si="131"/>
        <v>0</v>
      </c>
      <c r="C268" s="210">
        <f t="shared" si="114"/>
        <v>0</v>
      </c>
      <c r="D268" s="210">
        <f t="shared" si="132"/>
        <v>0</v>
      </c>
      <c r="E268" s="210">
        <f t="shared" si="115"/>
        <v>0</v>
      </c>
      <c r="F268" s="297">
        <v>78</v>
      </c>
      <c r="G268" s="210">
        <f t="shared" si="133"/>
        <v>79</v>
      </c>
      <c r="I268" s="210">
        <v>25</v>
      </c>
      <c r="J268" s="295"/>
      <c r="K268" s="295">
        <f t="shared" si="134"/>
        <v>0</v>
      </c>
      <c r="L268" s="295"/>
      <c r="M268" s="295"/>
      <c r="N268" s="295"/>
      <c r="O268" s="295"/>
      <c r="P268" s="295"/>
      <c r="Q268" s="295"/>
      <c r="R268" s="295"/>
      <c r="S268" s="295"/>
      <c r="T268" s="295">
        <f t="shared" si="116"/>
        <v>0</v>
      </c>
      <c r="U268" s="295"/>
      <c r="V268" s="295"/>
      <c r="W268" s="295"/>
      <c r="X268" s="295"/>
      <c r="Y268" s="295"/>
      <c r="Z268" s="295"/>
      <c r="AA268" s="295"/>
      <c r="AB268" s="210">
        <f t="shared" si="117"/>
        <v>0</v>
      </c>
      <c r="AC268" s="210">
        <f t="shared" si="118"/>
        <v>0</v>
      </c>
      <c r="AD268" s="210">
        <f t="shared" si="119"/>
        <v>0</v>
      </c>
      <c r="AE268" s="210">
        <f t="shared" si="120"/>
        <v>0</v>
      </c>
      <c r="AF268" s="227">
        <f t="shared" si="121"/>
        <v>0.05</v>
      </c>
      <c r="AG268" s="227">
        <f>ROUNDDOWN(SUM(AF$191:AF268)-SUM(AG$191:AG267),0)*$A268</f>
        <v>0</v>
      </c>
      <c r="AH268" s="227">
        <f t="shared" si="122"/>
        <v>0</v>
      </c>
      <c r="AI268" s="210">
        <f t="shared" si="123"/>
        <v>0</v>
      </c>
      <c r="AJ268" s="210">
        <f t="shared" si="124"/>
        <v>0</v>
      </c>
      <c r="AK268" s="210">
        <f t="shared" si="125"/>
        <v>0</v>
      </c>
      <c r="AL268" s="210">
        <f t="shared" si="126"/>
        <v>0</v>
      </c>
      <c r="AM268" s="210">
        <f t="shared" si="127"/>
        <v>0.05</v>
      </c>
      <c r="AN268" s="227">
        <f>ROUNDDOWN(SUM(AM$191:AM268)-SUM(AN$191:AN267),0)*$A268</f>
        <v>0</v>
      </c>
      <c r="AO268" s="227">
        <f t="shared" si="128"/>
        <v>0</v>
      </c>
      <c r="AP268" s="210">
        <f t="shared" si="140"/>
        <v>0.21339616118458871</v>
      </c>
      <c r="AQ268" s="210">
        <f t="shared" si="141"/>
        <v>0.21339616118458871</v>
      </c>
      <c r="AR268" s="210">
        <f t="shared" si="142"/>
        <v>0.21339616118458871</v>
      </c>
      <c r="AS268" s="210">
        <f t="shared" si="143"/>
        <v>0.21339616118458871</v>
      </c>
      <c r="AT268" s="210">
        <f t="shared" si="144"/>
        <v>0.21339616118458871</v>
      </c>
      <c r="AU268" s="227">
        <f t="shared" si="129"/>
        <v>4.6861199116651173</v>
      </c>
      <c r="AV268" s="227">
        <f t="shared" si="135"/>
        <v>1</v>
      </c>
      <c r="AW268" s="227">
        <f t="shared" si="136"/>
        <v>1</v>
      </c>
      <c r="AX268" s="227">
        <f t="shared" si="137"/>
        <v>1</v>
      </c>
      <c r="AY268" s="227">
        <f t="shared" si="138"/>
        <v>1</v>
      </c>
      <c r="AZ268" s="227">
        <f t="shared" si="139"/>
        <v>1</v>
      </c>
      <c r="BB268" s="227"/>
      <c r="BC268" s="227"/>
      <c r="BD268" s="227"/>
      <c r="BE268" s="227"/>
      <c r="BF268" s="227"/>
      <c r="BG268" s="227"/>
      <c r="BH268" s="227"/>
      <c r="BI268" s="227"/>
      <c r="BJ268" s="227"/>
      <c r="BK268" s="227"/>
    </row>
    <row r="269" spans="1:63" x14ac:dyDescent="0.3">
      <c r="A269" s="210">
        <f t="shared" si="130"/>
        <v>0</v>
      </c>
      <c r="B269" s="210">
        <f t="shared" si="131"/>
        <v>0</v>
      </c>
      <c r="C269" s="210">
        <f t="shared" si="114"/>
        <v>0</v>
      </c>
      <c r="D269" s="210">
        <f t="shared" si="132"/>
        <v>0</v>
      </c>
      <c r="E269" s="210">
        <f t="shared" si="115"/>
        <v>0</v>
      </c>
      <c r="F269" s="297">
        <v>79</v>
      </c>
      <c r="G269" s="210">
        <f t="shared" si="133"/>
        <v>80</v>
      </c>
      <c r="I269" s="210">
        <v>25</v>
      </c>
      <c r="J269" s="295"/>
      <c r="K269" s="295">
        <f t="shared" si="134"/>
        <v>0</v>
      </c>
      <c r="L269" s="295"/>
      <c r="M269" s="295"/>
      <c r="N269" s="295"/>
      <c r="O269" s="295"/>
      <c r="P269" s="295"/>
      <c r="Q269" s="295"/>
      <c r="R269" s="295"/>
      <c r="S269" s="295"/>
      <c r="T269" s="295">
        <f t="shared" si="116"/>
        <v>0</v>
      </c>
      <c r="U269" s="295"/>
      <c r="V269" s="295"/>
      <c r="W269" s="295"/>
      <c r="X269" s="295"/>
      <c r="Y269" s="295"/>
      <c r="Z269" s="295"/>
      <c r="AA269" s="295"/>
      <c r="AB269" s="210">
        <f t="shared" si="117"/>
        <v>0</v>
      </c>
      <c r="AC269" s="210">
        <f t="shared" si="118"/>
        <v>0</v>
      </c>
      <c r="AD269" s="210">
        <f t="shared" si="119"/>
        <v>0</v>
      </c>
      <c r="AE269" s="210">
        <f t="shared" si="120"/>
        <v>0</v>
      </c>
      <c r="AF269" s="227">
        <f t="shared" si="121"/>
        <v>0.05</v>
      </c>
      <c r="AG269" s="227">
        <f>ROUNDDOWN(SUM(AF$191:AF269)-SUM(AG$191:AG268),0)*$A269</f>
        <v>0</v>
      </c>
      <c r="AH269" s="227">
        <f t="shared" si="122"/>
        <v>0</v>
      </c>
      <c r="AI269" s="210">
        <f t="shared" si="123"/>
        <v>0</v>
      </c>
      <c r="AJ269" s="210">
        <f t="shared" si="124"/>
        <v>0</v>
      </c>
      <c r="AK269" s="210">
        <f t="shared" si="125"/>
        <v>0</v>
      </c>
      <c r="AL269" s="210">
        <f t="shared" si="126"/>
        <v>0</v>
      </c>
      <c r="AM269" s="210">
        <f t="shared" si="127"/>
        <v>0.05</v>
      </c>
      <c r="AN269" s="227">
        <f>ROUNDDOWN(SUM(AM$191:AM269)-SUM(AN$191:AN268),0)*$A269</f>
        <v>0</v>
      </c>
      <c r="AO269" s="227">
        <f t="shared" si="128"/>
        <v>0</v>
      </c>
      <c r="AP269" s="210">
        <f t="shared" si="140"/>
        <v>0.20921192272998898</v>
      </c>
      <c r="AQ269" s="210">
        <f t="shared" si="141"/>
        <v>0.20921192272998898</v>
      </c>
      <c r="AR269" s="210">
        <f t="shared" si="142"/>
        <v>0.20921192272998898</v>
      </c>
      <c r="AS269" s="210">
        <f t="shared" si="143"/>
        <v>0.20921192272998898</v>
      </c>
      <c r="AT269" s="210">
        <f t="shared" si="144"/>
        <v>0.20921192272998898</v>
      </c>
      <c r="AU269" s="227">
        <f t="shared" si="129"/>
        <v>4.7798423098984184</v>
      </c>
      <c r="AV269" s="227">
        <f t="shared" si="135"/>
        <v>1</v>
      </c>
      <c r="AW269" s="227">
        <f t="shared" si="136"/>
        <v>1</v>
      </c>
      <c r="AX269" s="227">
        <f t="shared" si="137"/>
        <v>1</v>
      </c>
      <c r="AY269" s="227">
        <f t="shared" si="138"/>
        <v>1</v>
      </c>
      <c r="AZ269" s="227">
        <f t="shared" si="139"/>
        <v>1</v>
      </c>
      <c r="BB269" s="227"/>
      <c r="BC269" s="227"/>
      <c r="BD269" s="227"/>
      <c r="BE269" s="227"/>
      <c r="BF269" s="227"/>
      <c r="BG269" s="227"/>
      <c r="BH269" s="227"/>
      <c r="BI269" s="227"/>
      <c r="BJ269" s="227"/>
      <c r="BK269" s="227"/>
    </row>
    <row r="270" spans="1:63" x14ac:dyDescent="0.3">
      <c r="A270" s="210">
        <f t="shared" si="130"/>
        <v>0</v>
      </c>
      <c r="B270" s="210">
        <f t="shared" si="131"/>
        <v>0</v>
      </c>
      <c r="C270" s="210">
        <f t="shared" si="114"/>
        <v>0</v>
      </c>
      <c r="D270" s="210">
        <f t="shared" si="132"/>
        <v>0</v>
      </c>
      <c r="E270" s="210">
        <f t="shared" si="115"/>
        <v>0</v>
      </c>
      <c r="F270" s="297">
        <v>80</v>
      </c>
      <c r="G270" s="210">
        <f t="shared" si="133"/>
        <v>81</v>
      </c>
      <c r="I270" s="210">
        <v>25</v>
      </c>
      <c r="J270" s="295"/>
      <c r="K270" s="295">
        <f t="shared" si="134"/>
        <v>0</v>
      </c>
      <c r="L270" s="295"/>
      <c r="M270" s="295"/>
      <c r="N270" s="295"/>
      <c r="O270" s="295"/>
      <c r="P270" s="295"/>
      <c r="Q270" s="295"/>
      <c r="R270" s="295"/>
      <c r="S270" s="295"/>
      <c r="T270" s="295">
        <f t="shared" si="116"/>
        <v>0</v>
      </c>
      <c r="U270" s="295"/>
      <c r="V270" s="295"/>
      <c r="W270" s="295"/>
      <c r="X270" s="295"/>
      <c r="Y270" s="295"/>
      <c r="Z270" s="295"/>
      <c r="AA270" s="295"/>
      <c r="AB270" s="210">
        <f t="shared" si="117"/>
        <v>0</v>
      </c>
      <c r="AC270" s="210">
        <f t="shared" si="118"/>
        <v>0</v>
      </c>
      <c r="AD270" s="210">
        <f t="shared" si="119"/>
        <v>0</v>
      </c>
      <c r="AE270" s="210">
        <f t="shared" si="120"/>
        <v>0</v>
      </c>
      <c r="AF270" s="227">
        <f t="shared" si="121"/>
        <v>0.05</v>
      </c>
      <c r="AG270" s="227">
        <f>ROUNDDOWN(SUM(AF$191:AF270)-SUM(AG$191:AG269),0)*$A270</f>
        <v>0</v>
      </c>
      <c r="AH270" s="227">
        <f t="shared" si="122"/>
        <v>0</v>
      </c>
      <c r="AI270" s="210">
        <f t="shared" si="123"/>
        <v>0</v>
      </c>
      <c r="AJ270" s="210">
        <f t="shared" si="124"/>
        <v>0</v>
      </c>
      <c r="AK270" s="210">
        <f t="shared" si="125"/>
        <v>0</v>
      </c>
      <c r="AL270" s="210">
        <f t="shared" si="126"/>
        <v>0</v>
      </c>
      <c r="AM270" s="210">
        <f t="shared" si="127"/>
        <v>0.05</v>
      </c>
      <c r="AN270" s="227">
        <f>ROUNDDOWN(SUM(AM$191:AM270)-SUM(AN$191:AN269),0)*$A270</f>
        <v>0</v>
      </c>
      <c r="AO270" s="227">
        <f t="shared" si="128"/>
        <v>0</v>
      </c>
      <c r="AP270" s="210">
        <f t="shared" si="140"/>
        <v>0.20510972816665585</v>
      </c>
      <c r="AQ270" s="210">
        <f t="shared" si="141"/>
        <v>0.20510972816665585</v>
      </c>
      <c r="AR270" s="210">
        <f t="shared" si="142"/>
        <v>0.20510972816665585</v>
      </c>
      <c r="AS270" s="210">
        <f t="shared" si="143"/>
        <v>0.20510972816665585</v>
      </c>
      <c r="AT270" s="210">
        <f t="shared" si="144"/>
        <v>0.20510972816665585</v>
      </c>
      <c r="AU270" s="227">
        <f t="shared" si="129"/>
        <v>4.8754391560963874</v>
      </c>
      <c r="AV270" s="227">
        <f t="shared" si="135"/>
        <v>1</v>
      </c>
      <c r="AW270" s="227">
        <f t="shared" si="136"/>
        <v>1</v>
      </c>
      <c r="AX270" s="227">
        <f t="shared" si="137"/>
        <v>1</v>
      </c>
      <c r="AY270" s="227">
        <f t="shared" si="138"/>
        <v>1</v>
      </c>
      <c r="AZ270" s="227">
        <f t="shared" si="139"/>
        <v>1</v>
      </c>
      <c r="BB270" s="227"/>
      <c r="BC270" s="227"/>
      <c r="BD270" s="227"/>
      <c r="BE270" s="227"/>
      <c r="BF270" s="227"/>
      <c r="BG270" s="227"/>
      <c r="BH270" s="227"/>
      <c r="BI270" s="227"/>
      <c r="BJ270" s="227"/>
      <c r="BK270" s="227"/>
    </row>
    <row r="271" spans="1:63" x14ac:dyDescent="0.3">
      <c r="A271" s="210">
        <f t="shared" si="130"/>
        <v>0</v>
      </c>
      <c r="B271" s="210">
        <f t="shared" si="131"/>
        <v>0</v>
      </c>
      <c r="C271" s="210">
        <f t="shared" si="114"/>
        <v>0</v>
      </c>
      <c r="D271" s="210">
        <f t="shared" si="132"/>
        <v>0</v>
      </c>
      <c r="E271" s="210">
        <f t="shared" si="115"/>
        <v>0</v>
      </c>
      <c r="F271" s="297">
        <v>81</v>
      </c>
      <c r="G271" s="210">
        <f t="shared" si="133"/>
        <v>82</v>
      </c>
      <c r="I271" s="210">
        <v>25</v>
      </c>
      <c r="J271" s="295"/>
      <c r="K271" s="295">
        <f t="shared" si="134"/>
        <v>0</v>
      </c>
      <c r="L271" s="295"/>
      <c r="M271" s="295"/>
      <c r="N271" s="295"/>
      <c r="O271" s="295"/>
      <c r="P271" s="295"/>
      <c r="Q271" s="295"/>
      <c r="R271" s="295"/>
      <c r="S271" s="295"/>
      <c r="T271" s="295">
        <f t="shared" si="116"/>
        <v>0</v>
      </c>
      <c r="U271" s="295"/>
      <c r="V271" s="295"/>
      <c r="W271" s="295"/>
      <c r="X271" s="295"/>
      <c r="Y271" s="295"/>
      <c r="Z271" s="295"/>
      <c r="AA271" s="295"/>
      <c r="AB271" s="210">
        <f t="shared" si="117"/>
        <v>0</v>
      </c>
      <c r="AC271" s="210">
        <f t="shared" si="118"/>
        <v>0</v>
      </c>
      <c r="AD271" s="210">
        <f t="shared" si="119"/>
        <v>0</v>
      </c>
      <c r="AE271" s="210">
        <f t="shared" si="120"/>
        <v>0</v>
      </c>
      <c r="AF271" s="227">
        <f t="shared" si="121"/>
        <v>0.05</v>
      </c>
      <c r="AG271" s="227">
        <f>ROUNDDOWN(SUM(AF$191:AF271)-SUM(AG$191:AG270),0)*$A271</f>
        <v>0</v>
      </c>
      <c r="AH271" s="227">
        <f t="shared" si="122"/>
        <v>0</v>
      </c>
      <c r="AI271" s="210">
        <f t="shared" si="123"/>
        <v>0</v>
      </c>
      <c r="AJ271" s="210">
        <f t="shared" si="124"/>
        <v>0</v>
      </c>
      <c r="AK271" s="210">
        <f t="shared" si="125"/>
        <v>0</v>
      </c>
      <c r="AL271" s="210">
        <f t="shared" si="126"/>
        <v>0</v>
      </c>
      <c r="AM271" s="210">
        <f t="shared" si="127"/>
        <v>0.05</v>
      </c>
      <c r="AN271" s="227">
        <f>ROUNDDOWN(SUM(AM$191:AM271)-SUM(AN$191:AN270),0)*$A271</f>
        <v>0</v>
      </c>
      <c r="AO271" s="227">
        <f t="shared" si="128"/>
        <v>0</v>
      </c>
      <c r="AP271" s="210">
        <f t="shared" si="140"/>
        <v>0.20108796879083907</v>
      </c>
      <c r="AQ271" s="210">
        <f t="shared" si="141"/>
        <v>0.20108796879083907</v>
      </c>
      <c r="AR271" s="210">
        <f t="shared" si="142"/>
        <v>0.20108796879083907</v>
      </c>
      <c r="AS271" s="210">
        <f t="shared" si="143"/>
        <v>0.20108796879083907</v>
      </c>
      <c r="AT271" s="210">
        <f t="shared" si="144"/>
        <v>0.20108796879083907</v>
      </c>
      <c r="AU271" s="227">
        <f t="shared" si="129"/>
        <v>4.9729479392183151</v>
      </c>
      <c r="AV271" s="227">
        <f t="shared" si="135"/>
        <v>1</v>
      </c>
      <c r="AW271" s="227">
        <f t="shared" si="136"/>
        <v>1</v>
      </c>
      <c r="AX271" s="227">
        <f t="shared" si="137"/>
        <v>1</v>
      </c>
      <c r="AY271" s="227">
        <f t="shared" si="138"/>
        <v>1</v>
      </c>
      <c r="AZ271" s="227">
        <f t="shared" si="139"/>
        <v>1</v>
      </c>
      <c r="BB271" s="227"/>
      <c r="BC271" s="227"/>
      <c r="BD271" s="227"/>
      <c r="BE271" s="227"/>
      <c r="BF271" s="227"/>
      <c r="BG271" s="227"/>
      <c r="BH271" s="227"/>
      <c r="BI271" s="227"/>
      <c r="BJ271" s="227"/>
      <c r="BK271" s="227"/>
    </row>
    <row r="272" spans="1:63" x14ac:dyDescent="0.3">
      <c r="A272" s="210">
        <f t="shared" si="130"/>
        <v>0</v>
      </c>
      <c r="B272" s="210">
        <f t="shared" si="131"/>
        <v>0</v>
      </c>
      <c r="C272" s="210">
        <f t="shared" si="114"/>
        <v>0</v>
      </c>
      <c r="D272" s="210">
        <f t="shared" si="132"/>
        <v>0</v>
      </c>
      <c r="E272" s="210">
        <f t="shared" si="115"/>
        <v>0</v>
      </c>
      <c r="F272" s="297">
        <v>82</v>
      </c>
      <c r="G272" s="210">
        <f t="shared" si="133"/>
        <v>83</v>
      </c>
      <c r="I272" s="210">
        <v>25</v>
      </c>
      <c r="J272" s="295"/>
      <c r="K272" s="295">
        <f t="shared" si="134"/>
        <v>0</v>
      </c>
      <c r="L272" s="295"/>
      <c r="M272" s="295"/>
      <c r="N272" s="295"/>
      <c r="O272" s="295"/>
      <c r="P272" s="295"/>
      <c r="Q272" s="295"/>
      <c r="R272" s="295"/>
      <c r="S272" s="295"/>
      <c r="T272" s="295">
        <f t="shared" si="116"/>
        <v>0</v>
      </c>
      <c r="U272" s="295"/>
      <c r="V272" s="295"/>
      <c r="W272" s="295"/>
      <c r="X272" s="295"/>
      <c r="Y272" s="295"/>
      <c r="Z272" s="295"/>
      <c r="AA272" s="295"/>
      <c r="AB272" s="210">
        <f t="shared" si="117"/>
        <v>0</v>
      </c>
      <c r="AC272" s="210">
        <f t="shared" si="118"/>
        <v>0</v>
      </c>
      <c r="AD272" s="210">
        <f t="shared" si="119"/>
        <v>0</v>
      </c>
      <c r="AE272" s="210">
        <f t="shared" si="120"/>
        <v>0</v>
      </c>
      <c r="AF272" s="227">
        <f t="shared" si="121"/>
        <v>0.05</v>
      </c>
      <c r="AG272" s="227">
        <f>ROUNDDOWN(SUM(AF$191:AF272)-SUM(AG$191:AG271),0)*$A272</f>
        <v>0</v>
      </c>
      <c r="AH272" s="227">
        <f t="shared" si="122"/>
        <v>0</v>
      </c>
      <c r="AI272" s="210">
        <f t="shared" si="123"/>
        <v>0</v>
      </c>
      <c r="AJ272" s="210">
        <f t="shared" si="124"/>
        <v>0</v>
      </c>
      <c r="AK272" s="210">
        <f t="shared" si="125"/>
        <v>0</v>
      </c>
      <c r="AL272" s="210">
        <f t="shared" si="126"/>
        <v>0</v>
      </c>
      <c r="AM272" s="210">
        <f t="shared" si="127"/>
        <v>0.05</v>
      </c>
      <c r="AN272" s="227">
        <f>ROUNDDOWN(SUM(AM$191:AM272)-SUM(AN$191:AN271),0)*$A272</f>
        <v>0</v>
      </c>
      <c r="AO272" s="227">
        <f t="shared" si="128"/>
        <v>0</v>
      </c>
      <c r="AP272" s="210">
        <f t="shared" si="140"/>
        <v>0.19714506744199911</v>
      </c>
      <c r="AQ272" s="210">
        <f t="shared" si="141"/>
        <v>0.19714506744199911</v>
      </c>
      <c r="AR272" s="210">
        <f t="shared" si="142"/>
        <v>0.19714506744199911</v>
      </c>
      <c r="AS272" s="210">
        <f t="shared" si="143"/>
        <v>0.19714506744199911</v>
      </c>
      <c r="AT272" s="210">
        <f t="shared" si="144"/>
        <v>0.19714506744199911</v>
      </c>
      <c r="AU272" s="227">
        <f t="shared" si="129"/>
        <v>5.0724068980026811</v>
      </c>
      <c r="AV272" s="227">
        <f t="shared" si="135"/>
        <v>1</v>
      </c>
      <c r="AW272" s="227">
        <f t="shared" si="136"/>
        <v>1</v>
      </c>
      <c r="AX272" s="227">
        <f t="shared" si="137"/>
        <v>1</v>
      </c>
      <c r="AY272" s="227">
        <f t="shared" si="138"/>
        <v>1</v>
      </c>
      <c r="AZ272" s="227">
        <f t="shared" si="139"/>
        <v>1</v>
      </c>
      <c r="BB272" s="227"/>
      <c r="BC272" s="227"/>
      <c r="BD272" s="227"/>
      <c r="BE272" s="227"/>
      <c r="BF272" s="227"/>
      <c r="BG272" s="227"/>
      <c r="BH272" s="227"/>
      <c r="BI272" s="227"/>
      <c r="BJ272" s="227"/>
      <c r="BK272" s="227"/>
    </row>
    <row r="273" spans="1:63" x14ac:dyDescent="0.3">
      <c r="A273" s="210">
        <f t="shared" si="130"/>
        <v>0</v>
      </c>
      <c r="B273" s="210">
        <f t="shared" si="131"/>
        <v>0</v>
      </c>
      <c r="C273" s="210">
        <f t="shared" si="114"/>
        <v>0</v>
      </c>
      <c r="D273" s="210">
        <f t="shared" si="132"/>
        <v>0</v>
      </c>
      <c r="E273" s="210">
        <f t="shared" si="115"/>
        <v>0</v>
      </c>
      <c r="F273" s="297">
        <v>83</v>
      </c>
      <c r="G273" s="210">
        <f t="shared" si="133"/>
        <v>84</v>
      </c>
      <c r="I273" s="210">
        <v>25</v>
      </c>
      <c r="J273" s="295"/>
      <c r="K273" s="295">
        <f t="shared" si="134"/>
        <v>0</v>
      </c>
      <c r="L273" s="295"/>
      <c r="M273" s="295"/>
      <c r="N273" s="295"/>
      <c r="O273" s="295"/>
      <c r="P273" s="295"/>
      <c r="Q273" s="295"/>
      <c r="R273" s="295"/>
      <c r="S273" s="295"/>
      <c r="T273" s="295">
        <f t="shared" si="116"/>
        <v>0</v>
      </c>
      <c r="U273" s="295"/>
      <c r="V273" s="295"/>
      <c r="W273" s="295"/>
      <c r="X273" s="295"/>
      <c r="Y273" s="295"/>
      <c r="Z273" s="295"/>
      <c r="AA273" s="295"/>
      <c r="AB273" s="210">
        <f t="shared" si="117"/>
        <v>0</v>
      </c>
      <c r="AC273" s="210">
        <f t="shared" si="118"/>
        <v>0</v>
      </c>
      <c r="AD273" s="210">
        <f t="shared" si="119"/>
        <v>0</v>
      </c>
      <c r="AE273" s="210">
        <f t="shared" si="120"/>
        <v>0</v>
      </c>
      <c r="AF273" s="227">
        <f t="shared" si="121"/>
        <v>0.05</v>
      </c>
      <c r="AG273" s="227">
        <f>ROUNDDOWN(SUM(AF$191:AF273)-SUM(AG$191:AG272),0)*$A273</f>
        <v>0</v>
      </c>
      <c r="AH273" s="227">
        <f t="shared" si="122"/>
        <v>0</v>
      </c>
      <c r="AI273" s="210">
        <f t="shared" si="123"/>
        <v>0</v>
      </c>
      <c r="AJ273" s="210">
        <f t="shared" si="124"/>
        <v>0</v>
      </c>
      <c r="AK273" s="210">
        <f t="shared" si="125"/>
        <v>0</v>
      </c>
      <c r="AL273" s="210">
        <f t="shared" si="126"/>
        <v>0</v>
      </c>
      <c r="AM273" s="210">
        <f t="shared" si="127"/>
        <v>0.05</v>
      </c>
      <c r="AN273" s="227">
        <f>ROUNDDOWN(SUM(AM$191:AM273)-SUM(AN$191:AN272),0)*$A273</f>
        <v>0</v>
      </c>
      <c r="AO273" s="227">
        <f t="shared" si="128"/>
        <v>0</v>
      </c>
      <c r="AP273" s="210">
        <f t="shared" si="140"/>
        <v>0.19327947788431285</v>
      </c>
      <c r="AQ273" s="210">
        <f t="shared" si="141"/>
        <v>0.19327947788431285</v>
      </c>
      <c r="AR273" s="210">
        <f t="shared" si="142"/>
        <v>0.19327947788431285</v>
      </c>
      <c r="AS273" s="210">
        <f t="shared" si="143"/>
        <v>0.19327947788431285</v>
      </c>
      <c r="AT273" s="210">
        <f t="shared" si="144"/>
        <v>0.19327947788431285</v>
      </c>
      <c r="AU273" s="227">
        <f t="shared" si="129"/>
        <v>5.1738550359627347</v>
      </c>
      <c r="AV273" s="227">
        <f t="shared" si="135"/>
        <v>1</v>
      </c>
      <c r="AW273" s="227">
        <f t="shared" si="136"/>
        <v>1</v>
      </c>
      <c r="AX273" s="227">
        <f t="shared" si="137"/>
        <v>1</v>
      </c>
      <c r="AY273" s="227">
        <f t="shared" si="138"/>
        <v>1</v>
      </c>
      <c r="AZ273" s="227">
        <f t="shared" si="139"/>
        <v>1</v>
      </c>
      <c r="BB273" s="227"/>
      <c r="BC273" s="227"/>
      <c r="BD273" s="227"/>
      <c r="BE273" s="227"/>
      <c r="BF273" s="227"/>
      <c r="BG273" s="227"/>
      <c r="BH273" s="227"/>
      <c r="BI273" s="227"/>
      <c r="BJ273" s="227"/>
      <c r="BK273" s="227"/>
    </row>
    <row r="274" spans="1:63" x14ac:dyDescent="0.3">
      <c r="A274" s="210">
        <f t="shared" si="130"/>
        <v>0</v>
      </c>
      <c r="B274" s="210">
        <f t="shared" si="131"/>
        <v>0</v>
      </c>
      <c r="C274" s="210">
        <f t="shared" si="114"/>
        <v>0</v>
      </c>
      <c r="D274" s="210">
        <f t="shared" si="132"/>
        <v>0</v>
      </c>
      <c r="E274" s="210">
        <f t="shared" si="115"/>
        <v>0</v>
      </c>
      <c r="F274" s="297">
        <v>84</v>
      </c>
      <c r="G274" s="210">
        <f t="shared" si="133"/>
        <v>85</v>
      </c>
      <c r="I274" s="210">
        <v>25</v>
      </c>
      <c r="J274" s="295"/>
      <c r="K274" s="295">
        <f t="shared" si="134"/>
        <v>0</v>
      </c>
      <c r="L274" s="295"/>
      <c r="M274" s="295"/>
      <c r="N274" s="295"/>
      <c r="O274" s="295"/>
      <c r="P274" s="295"/>
      <c r="Q274" s="295"/>
      <c r="R274" s="295"/>
      <c r="S274" s="295"/>
      <c r="T274" s="295">
        <f t="shared" si="116"/>
        <v>0</v>
      </c>
      <c r="U274" s="295"/>
      <c r="V274" s="295"/>
      <c r="W274" s="295"/>
      <c r="X274" s="295"/>
      <c r="Y274" s="295"/>
      <c r="Z274" s="295"/>
      <c r="AA274" s="295"/>
      <c r="AB274" s="210">
        <f t="shared" si="117"/>
        <v>0</v>
      </c>
      <c r="AC274" s="210">
        <f t="shared" si="118"/>
        <v>0</v>
      </c>
      <c r="AD274" s="210">
        <f t="shared" si="119"/>
        <v>0</v>
      </c>
      <c r="AE274" s="210">
        <f t="shared" si="120"/>
        <v>0</v>
      </c>
      <c r="AF274" s="227">
        <f t="shared" si="121"/>
        <v>0.05</v>
      </c>
      <c r="AG274" s="227">
        <f>ROUNDDOWN(SUM(AF$191:AF274)-SUM(AG$191:AG273),0)*$A274</f>
        <v>0</v>
      </c>
      <c r="AH274" s="227">
        <f t="shared" si="122"/>
        <v>0</v>
      </c>
      <c r="AI274" s="210">
        <f t="shared" si="123"/>
        <v>0</v>
      </c>
      <c r="AJ274" s="210">
        <f t="shared" si="124"/>
        <v>0</v>
      </c>
      <c r="AK274" s="210">
        <f t="shared" si="125"/>
        <v>0</v>
      </c>
      <c r="AL274" s="210">
        <f t="shared" si="126"/>
        <v>0</v>
      </c>
      <c r="AM274" s="210">
        <f t="shared" si="127"/>
        <v>0.05</v>
      </c>
      <c r="AN274" s="227">
        <f>ROUNDDOWN(SUM(AM$191:AM274)-SUM(AN$191:AN273),0)*$A274</f>
        <v>0</v>
      </c>
      <c r="AO274" s="227">
        <f t="shared" si="128"/>
        <v>0</v>
      </c>
      <c r="AP274" s="210">
        <f t="shared" si="140"/>
        <v>0.18948968420030671</v>
      </c>
      <c r="AQ274" s="210">
        <f t="shared" si="141"/>
        <v>0.18948968420030671</v>
      </c>
      <c r="AR274" s="210">
        <f t="shared" si="142"/>
        <v>0.18948968420030671</v>
      </c>
      <c r="AS274" s="210">
        <f t="shared" si="143"/>
        <v>0.18948968420030671</v>
      </c>
      <c r="AT274" s="210">
        <f t="shared" si="144"/>
        <v>0.18948968420030671</v>
      </c>
      <c r="AU274" s="227">
        <f t="shared" si="129"/>
        <v>5.2773321366819896</v>
      </c>
      <c r="AV274" s="227">
        <f t="shared" si="135"/>
        <v>1</v>
      </c>
      <c r="AW274" s="227">
        <f t="shared" si="136"/>
        <v>1</v>
      </c>
      <c r="AX274" s="227">
        <f t="shared" si="137"/>
        <v>1</v>
      </c>
      <c r="AY274" s="227">
        <f t="shared" si="138"/>
        <v>1</v>
      </c>
      <c r="AZ274" s="227">
        <f t="shared" si="139"/>
        <v>1</v>
      </c>
      <c r="BB274" s="227"/>
      <c r="BC274" s="227"/>
      <c r="BD274" s="227"/>
      <c r="BE274" s="227"/>
      <c r="BF274" s="227"/>
      <c r="BG274" s="227"/>
      <c r="BH274" s="227"/>
      <c r="BI274" s="227"/>
      <c r="BJ274" s="227"/>
      <c r="BK274" s="227"/>
    </row>
    <row r="275" spans="1:63" x14ac:dyDescent="0.3">
      <c r="A275" s="210">
        <f t="shared" si="130"/>
        <v>0</v>
      </c>
      <c r="B275" s="210">
        <f t="shared" si="131"/>
        <v>0</v>
      </c>
      <c r="C275" s="210">
        <f t="shared" si="114"/>
        <v>0</v>
      </c>
      <c r="D275" s="210">
        <f t="shared" si="132"/>
        <v>0</v>
      </c>
      <c r="E275" s="210">
        <f t="shared" si="115"/>
        <v>0</v>
      </c>
      <c r="F275" s="297">
        <v>85</v>
      </c>
      <c r="G275" s="210">
        <f t="shared" si="133"/>
        <v>86</v>
      </c>
      <c r="I275" s="210">
        <v>25</v>
      </c>
      <c r="J275" s="295"/>
      <c r="K275" s="295">
        <f t="shared" si="134"/>
        <v>0</v>
      </c>
      <c r="L275" s="295"/>
      <c r="M275" s="295"/>
      <c r="N275" s="295"/>
      <c r="O275" s="295"/>
      <c r="P275" s="295"/>
      <c r="Q275" s="295"/>
      <c r="R275" s="295"/>
      <c r="S275" s="295"/>
      <c r="T275" s="295">
        <f t="shared" si="116"/>
        <v>0</v>
      </c>
      <c r="U275" s="295"/>
      <c r="V275" s="295"/>
      <c r="W275" s="295"/>
      <c r="X275" s="295"/>
      <c r="Y275" s="295"/>
      <c r="Z275" s="295"/>
      <c r="AA275" s="295"/>
      <c r="AB275" s="210">
        <f t="shared" si="117"/>
        <v>0</v>
      </c>
      <c r="AC275" s="210">
        <f t="shared" si="118"/>
        <v>0</v>
      </c>
      <c r="AD275" s="210">
        <f t="shared" si="119"/>
        <v>0</v>
      </c>
      <c r="AE275" s="210">
        <f t="shared" si="120"/>
        <v>0</v>
      </c>
      <c r="AF275" s="227">
        <f t="shared" si="121"/>
        <v>0.05</v>
      </c>
      <c r="AG275" s="227">
        <f>ROUNDDOWN(SUM(AF$191:AF275)-SUM(AG$191:AG274),0)*$A275</f>
        <v>0</v>
      </c>
      <c r="AH275" s="227">
        <f t="shared" si="122"/>
        <v>0</v>
      </c>
      <c r="AI275" s="210">
        <f t="shared" si="123"/>
        <v>0</v>
      </c>
      <c r="AJ275" s="210">
        <f t="shared" si="124"/>
        <v>0</v>
      </c>
      <c r="AK275" s="210">
        <f t="shared" si="125"/>
        <v>0</v>
      </c>
      <c r="AL275" s="210">
        <f t="shared" si="126"/>
        <v>0</v>
      </c>
      <c r="AM275" s="210">
        <f t="shared" si="127"/>
        <v>0.05</v>
      </c>
      <c r="AN275" s="227">
        <f>ROUNDDOWN(SUM(AM$191:AM275)-SUM(AN$191:AN274),0)*$A275</f>
        <v>0</v>
      </c>
      <c r="AO275" s="227">
        <f t="shared" si="128"/>
        <v>0</v>
      </c>
      <c r="AP275" s="210">
        <f t="shared" si="140"/>
        <v>0.18577420019637911</v>
      </c>
      <c r="AQ275" s="210">
        <f t="shared" si="141"/>
        <v>0.18577420019637911</v>
      </c>
      <c r="AR275" s="210">
        <f t="shared" si="142"/>
        <v>0.18577420019637911</v>
      </c>
      <c r="AS275" s="210">
        <f t="shared" si="143"/>
        <v>0.18577420019637911</v>
      </c>
      <c r="AT275" s="210">
        <f t="shared" si="144"/>
        <v>0.18577420019637911</v>
      </c>
      <c r="AU275" s="227">
        <f t="shared" si="129"/>
        <v>5.3828787794156296</v>
      </c>
      <c r="AV275" s="227">
        <f t="shared" si="135"/>
        <v>1</v>
      </c>
      <c r="AW275" s="227">
        <f t="shared" si="136"/>
        <v>1</v>
      </c>
      <c r="AX275" s="227">
        <f t="shared" si="137"/>
        <v>1</v>
      </c>
      <c r="AY275" s="227">
        <f t="shared" si="138"/>
        <v>1</v>
      </c>
      <c r="AZ275" s="227">
        <f t="shared" si="139"/>
        <v>1</v>
      </c>
      <c r="BB275" s="227"/>
      <c r="BC275" s="227"/>
      <c r="BD275" s="227"/>
      <c r="BE275" s="227"/>
      <c r="BF275" s="227"/>
      <c r="BG275" s="227"/>
      <c r="BH275" s="227"/>
      <c r="BI275" s="227"/>
      <c r="BJ275" s="227"/>
      <c r="BK275" s="227"/>
    </row>
    <row r="276" spans="1:63" x14ac:dyDescent="0.3">
      <c r="A276" s="210">
        <f t="shared" si="130"/>
        <v>0</v>
      </c>
      <c r="B276" s="210">
        <f t="shared" si="131"/>
        <v>0</v>
      </c>
      <c r="C276" s="210">
        <f t="shared" si="114"/>
        <v>0</v>
      </c>
      <c r="D276" s="210">
        <f t="shared" si="132"/>
        <v>0</v>
      </c>
      <c r="E276" s="210">
        <f t="shared" si="115"/>
        <v>0</v>
      </c>
      <c r="F276" s="297">
        <v>86</v>
      </c>
      <c r="G276" s="210">
        <f t="shared" si="133"/>
        <v>87</v>
      </c>
      <c r="I276" s="210">
        <v>25</v>
      </c>
      <c r="J276" s="295"/>
      <c r="K276" s="295">
        <f t="shared" si="134"/>
        <v>0</v>
      </c>
      <c r="L276" s="295"/>
      <c r="M276" s="295"/>
      <c r="N276" s="295"/>
      <c r="O276" s="295"/>
      <c r="P276" s="295"/>
      <c r="Q276" s="295"/>
      <c r="R276" s="295"/>
      <c r="S276" s="295"/>
      <c r="T276" s="295">
        <f t="shared" si="116"/>
        <v>0</v>
      </c>
      <c r="U276" s="295"/>
      <c r="V276" s="295"/>
      <c r="W276" s="295"/>
      <c r="X276" s="295"/>
      <c r="Y276" s="295"/>
      <c r="Z276" s="295"/>
      <c r="AA276" s="295"/>
      <c r="AB276" s="210">
        <f t="shared" si="117"/>
        <v>0</v>
      </c>
      <c r="AC276" s="210">
        <f t="shared" si="118"/>
        <v>0</v>
      </c>
      <c r="AD276" s="210">
        <f t="shared" si="119"/>
        <v>0</v>
      </c>
      <c r="AE276" s="210">
        <f t="shared" si="120"/>
        <v>0</v>
      </c>
      <c r="AF276" s="227">
        <f t="shared" si="121"/>
        <v>0.05</v>
      </c>
      <c r="AG276" s="227">
        <f>ROUNDDOWN(SUM(AF$191:AF276)-SUM(AG$191:AG275),0)*$A276</f>
        <v>0</v>
      </c>
      <c r="AH276" s="227">
        <f t="shared" si="122"/>
        <v>0</v>
      </c>
      <c r="AI276" s="210">
        <f t="shared" si="123"/>
        <v>0</v>
      </c>
      <c r="AJ276" s="210">
        <f t="shared" si="124"/>
        <v>0</v>
      </c>
      <c r="AK276" s="210">
        <f t="shared" si="125"/>
        <v>0</v>
      </c>
      <c r="AL276" s="210">
        <f t="shared" si="126"/>
        <v>0</v>
      </c>
      <c r="AM276" s="210">
        <f t="shared" si="127"/>
        <v>0.05</v>
      </c>
      <c r="AN276" s="227">
        <f>ROUNDDOWN(SUM(AM$191:AM276)-SUM(AN$191:AN275),0)*$A276</f>
        <v>0</v>
      </c>
      <c r="AO276" s="227">
        <f t="shared" si="128"/>
        <v>0</v>
      </c>
      <c r="AP276" s="210">
        <f t="shared" si="140"/>
        <v>0.18213156881997952</v>
      </c>
      <c r="AQ276" s="210">
        <f t="shared" si="141"/>
        <v>0.18213156881997952</v>
      </c>
      <c r="AR276" s="210">
        <f t="shared" si="142"/>
        <v>0.18213156881997952</v>
      </c>
      <c r="AS276" s="210">
        <f t="shared" si="143"/>
        <v>0.18213156881997952</v>
      </c>
      <c r="AT276" s="210">
        <f t="shared" si="144"/>
        <v>0.18213156881997952</v>
      </c>
      <c r="AU276" s="227">
        <f t="shared" si="129"/>
        <v>5.4905363550039423</v>
      </c>
      <c r="AV276" s="227">
        <f t="shared" si="135"/>
        <v>1</v>
      </c>
      <c r="AW276" s="227">
        <f t="shared" si="136"/>
        <v>1</v>
      </c>
      <c r="AX276" s="227">
        <f t="shared" si="137"/>
        <v>1</v>
      </c>
      <c r="AY276" s="227">
        <f t="shared" si="138"/>
        <v>1</v>
      </c>
      <c r="AZ276" s="227">
        <f t="shared" si="139"/>
        <v>1</v>
      </c>
      <c r="BB276" s="227"/>
      <c r="BC276" s="227"/>
      <c r="BD276" s="227"/>
      <c r="BE276" s="227"/>
      <c r="BF276" s="227"/>
      <c r="BG276" s="227"/>
      <c r="BH276" s="227"/>
      <c r="BI276" s="227"/>
      <c r="BJ276" s="227"/>
      <c r="BK276" s="227"/>
    </row>
    <row r="277" spans="1:63" x14ac:dyDescent="0.3">
      <c r="A277" s="210">
        <f t="shared" si="130"/>
        <v>0</v>
      </c>
      <c r="B277" s="210">
        <f t="shared" si="131"/>
        <v>0</v>
      </c>
      <c r="C277" s="210">
        <f t="shared" si="114"/>
        <v>0</v>
      </c>
      <c r="D277" s="210">
        <f t="shared" si="132"/>
        <v>0</v>
      </c>
      <c r="E277" s="210">
        <f t="shared" si="115"/>
        <v>0</v>
      </c>
      <c r="F277" s="297">
        <v>87</v>
      </c>
      <c r="G277" s="210">
        <f t="shared" si="133"/>
        <v>88</v>
      </c>
      <c r="I277" s="210">
        <v>25</v>
      </c>
      <c r="J277" s="295"/>
      <c r="K277" s="295">
        <f t="shared" si="134"/>
        <v>0</v>
      </c>
      <c r="L277" s="295"/>
      <c r="M277" s="295"/>
      <c r="N277" s="295"/>
      <c r="O277" s="295"/>
      <c r="P277" s="295"/>
      <c r="Q277" s="295"/>
      <c r="R277" s="295"/>
      <c r="S277" s="295"/>
      <c r="T277" s="295">
        <f t="shared" si="116"/>
        <v>0</v>
      </c>
      <c r="U277" s="295"/>
      <c r="V277" s="295"/>
      <c r="W277" s="295"/>
      <c r="X277" s="295"/>
      <c r="Y277" s="295"/>
      <c r="Z277" s="295"/>
      <c r="AA277" s="295"/>
      <c r="AB277" s="210">
        <f t="shared" si="117"/>
        <v>0</v>
      </c>
      <c r="AC277" s="210">
        <f t="shared" si="118"/>
        <v>0</v>
      </c>
      <c r="AD277" s="210">
        <f t="shared" si="119"/>
        <v>0</v>
      </c>
      <c r="AE277" s="210">
        <f t="shared" si="120"/>
        <v>0</v>
      </c>
      <c r="AF277" s="227">
        <f t="shared" si="121"/>
        <v>0.05</v>
      </c>
      <c r="AG277" s="227">
        <f>ROUNDDOWN(SUM(AF$191:AF277)-SUM(AG$191:AG276),0)*$A277</f>
        <v>0</v>
      </c>
      <c r="AH277" s="227">
        <f t="shared" si="122"/>
        <v>0</v>
      </c>
      <c r="AI277" s="210">
        <f t="shared" si="123"/>
        <v>0</v>
      </c>
      <c r="AJ277" s="210">
        <f t="shared" si="124"/>
        <v>0</v>
      </c>
      <c r="AK277" s="210">
        <f t="shared" si="125"/>
        <v>0</v>
      </c>
      <c r="AL277" s="210">
        <f t="shared" si="126"/>
        <v>0</v>
      </c>
      <c r="AM277" s="210">
        <f t="shared" si="127"/>
        <v>0.05</v>
      </c>
      <c r="AN277" s="227">
        <f>ROUNDDOWN(SUM(AM$191:AM277)-SUM(AN$191:AN276),0)*$A277</f>
        <v>0</v>
      </c>
      <c r="AO277" s="227">
        <f t="shared" si="128"/>
        <v>0</v>
      </c>
      <c r="AP277" s="210">
        <f t="shared" si="140"/>
        <v>0.17856036158821526</v>
      </c>
      <c r="AQ277" s="210">
        <f t="shared" si="141"/>
        <v>0.17856036158821526</v>
      </c>
      <c r="AR277" s="210">
        <f t="shared" si="142"/>
        <v>0.17856036158821526</v>
      </c>
      <c r="AS277" s="210">
        <f t="shared" si="143"/>
        <v>0.17856036158821526</v>
      </c>
      <c r="AT277" s="210">
        <f t="shared" si="144"/>
        <v>0.17856036158821526</v>
      </c>
      <c r="AU277" s="227">
        <f t="shared" si="129"/>
        <v>5.6003470821040198</v>
      </c>
      <c r="AV277" s="227">
        <f t="shared" si="135"/>
        <v>1</v>
      </c>
      <c r="AW277" s="227">
        <f t="shared" si="136"/>
        <v>1</v>
      </c>
      <c r="AX277" s="227">
        <f t="shared" si="137"/>
        <v>1</v>
      </c>
      <c r="AY277" s="227">
        <f t="shared" si="138"/>
        <v>1</v>
      </c>
      <c r="AZ277" s="227">
        <f t="shared" si="139"/>
        <v>1</v>
      </c>
      <c r="BB277" s="227"/>
      <c r="BC277" s="227"/>
      <c r="BD277" s="227"/>
      <c r="BE277" s="227"/>
      <c r="BF277" s="227"/>
      <c r="BG277" s="227"/>
      <c r="BH277" s="227"/>
      <c r="BI277" s="227"/>
      <c r="BJ277" s="227"/>
      <c r="BK277" s="227"/>
    </row>
    <row r="278" spans="1:63" x14ac:dyDescent="0.3">
      <c r="A278" s="210">
        <f t="shared" si="130"/>
        <v>0</v>
      </c>
      <c r="B278" s="210">
        <f t="shared" si="131"/>
        <v>0</v>
      </c>
      <c r="C278" s="210">
        <f t="shared" si="114"/>
        <v>0</v>
      </c>
      <c r="D278" s="210">
        <f t="shared" si="132"/>
        <v>0</v>
      </c>
      <c r="E278" s="210">
        <f t="shared" si="115"/>
        <v>0</v>
      </c>
      <c r="F278" s="297">
        <v>88</v>
      </c>
      <c r="G278" s="210">
        <f t="shared" si="133"/>
        <v>89</v>
      </c>
      <c r="I278" s="210">
        <v>25</v>
      </c>
      <c r="J278" s="295"/>
      <c r="K278" s="295">
        <f t="shared" si="134"/>
        <v>0</v>
      </c>
      <c r="L278" s="295"/>
      <c r="M278" s="295"/>
      <c r="N278" s="295"/>
      <c r="O278" s="295"/>
      <c r="P278" s="295"/>
      <c r="Q278" s="295"/>
      <c r="R278" s="295"/>
      <c r="S278" s="295"/>
      <c r="T278" s="295">
        <f t="shared" si="116"/>
        <v>0</v>
      </c>
      <c r="U278" s="295"/>
      <c r="V278" s="295"/>
      <c r="W278" s="295"/>
      <c r="X278" s="295"/>
      <c r="Y278" s="295"/>
      <c r="Z278" s="295"/>
      <c r="AA278" s="295"/>
      <c r="AB278" s="210">
        <f t="shared" si="117"/>
        <v>0</v>
      </c>
      <c r="AC278" s="210">
        <f t="shared" si="118"/>
        <v>0</v>
      </c>
      <c r="AD278" s="210">
        <f t="shared" si="119"/>
        <v>0</v>
      </c>
      <c r="AE278" s="210">
        <f t="shared" si="120"/>
        <v>0</v>
      </c>
      <c r="AF278" s="227">
        <f t="shared" si="121"/>
        <v>0.05</v>
      </c>
      <c r="AG278" s="227">
        <f>ROUNDDOWN(SUM(AF$191:AF278)-SUM(AG$191:AG277),0)*$A278</f>
        <v>0</v>
      </c>
      <c r="AH278" s="227">
        <f t="shared" si="122"/>
        <v>0</v>
      </c>
      <c r="AI278" s="210">
        <f t="shared" si="123"/>
        <v>0</v>
      </c>
      <c r="AJ278" s="210">
        <f t="shared" si="124"/>
        <v>0</v>
      </c>
      <c r="AK278" s="210">
        <f t="shared" si="125"/>
        <v>0</v>
      </c>
      <c r="AL278" s="210">
        <f t="shared" si="126"/>
        <v>0</v>
      </c>
      <c r="AM278" s="210">
        <f t="shared" si="127"/>
        <v>0.05</v>
      </c>
      <c r="AN278" s="227">
        <f>ROUNDDOWN(SUM(AM$191:AM278)-SUM(AN$191:AN277),0)*$A278</f>
        <v>0</v>
      </c>
      <c r="AO278" s="227">
        <f t="shared" si="128"/>
        <v>0</v>
      </c>
      <c r="AP278" s="210">
        <f t="shared" si="140"/>
        <v>0.17505917802766199</v>
      </c>
      <c r="AQ278" s="210">
        <f t="shared" si="141"/>
        <v>0.17505917802766199</v>
      </c>
      <c r="AR278" s="210">
        <f t="shared" si="142"/>
        <v>0.17505917802766199</v>
      </c>
      <c r="AS278" s="210">
        <f t="shared" si="143"/>
        <v>0.17505917802766199</v>
      </c>
      <c r="AT278" s="210">
        <f t="shared" si="144"/>
        <v>0.17505917802766199</v>
      </c>
      <c r="AU278" s="227">
        <f t="shared" si="129"/>
        <v>5.7123540237461006</v>
      </c>
      <c r="AV278" s="227">
        <f t="shared" si="135"/>
        <v>1</v>
      </c>
      <c r="AW278" s="227">
        <f t="shared" si="136"/>
        <v>1</v>
      </c>
      <c r="AX278" s="227">
        <f t="shared" si="137"/>
        <v>1</v>
      </c>
      <c r="AY278" s="227">
        <f t="shared" si="138"/>
        <v>1</v>
      </c>
      <c r="AZ278" s="227">
        <f t="shared" si="139"/>
        <v>1</v>
      </c>
      <c r="BB278" s="227"/>
      <c r="BC278" s="227"/>
      <c r="BD278" s="227"/>
      <c r="BE278" s="227"/>
      <c r="BF278" s="227"/>
      <c r="BG278" s="227"/>
      <c r="BH278" s="227"/>
      <c r="BI278" s="227"/>
      <c r="BJ278" s="227"/>
      <c r="BK278" s="227"/>
    </row>
    <row r="279" spans="1:63" x14ac:dyDescent="0.3">
      <c r="A279" s="210">
        <f t="shared" si="130"/>
        <v>0</v>
      </c>
      <c r="B279" s="210">
        <f t="shared" si="131"/>
        <v>0</v>
      </c>
      <c r="C279" s="210">
        <f t="shared" si="114"/>
        <v>0</v>
      </c>
      <c r="D279" s="210">
        <f t="shared" si="132"/>
        <v>0</v>
      </c>
      <c r="E279" s="210">
        <f t="shared" si="115"/>
        <v>0</v>
      </c>
      <c r="F279" s="297">
        <v>89</v>
      </c>
      <c r="G279" s="210">
        <f t="shared" si="133"/>
        <v>90</v>
      </c>
      <c r="I279" s="210">
        <v>25</v>
      </c>
      <c r="J279" s="295"/>
      <c r="K279" s="295">
        <f t="shared" si="134"/>
        <v>0</v>
      </c>
      <c r="L279" s="295"/>
      <c r="M279" s="295"/>
      <c r="N279" s="295"/>
      <c r="O279" s="295"/>
      <c r="P279" s="295"/>
      <c r="Q279" s="295"/>
      <c r="R279" s="295"/>
      <c r="S279" s="295"/>
      <c r="T279" s="295">
        <f t="shared" si="116"/>
        <v>0</v>
      </c>
      <c r="U279" s="295"/>
      <c r="V279" s="295"/>
      <c r="W279" s="295"/>
      <c r="X279" s="295"/>
      <c r="Y279" s="295"/>
      <c r="Z279" s="295"/>
      <c r="AA279" s="295"/>
      <c r="AB279" s="210">
        <f t="shared" si="117"/>
        <v>0</v>
      </c>
      <c r="AC279" s="210">
        <f t="shared" si="118"/>
        <v>0</v>
      </c>
      <c r="AD279" s="210">
        <f t="shared" si="119"/>
        <v>0</v>
      </c>
      <c r="AE279" s="210">
        <f t="shared" si="120"/>
        <v>0</v>
      </c>
      <c r="AF279" s="227">
        <f t="shared" si="121"/>
        <v>0.05</v>
      </c>
      <c r="AG279" s="227">
        <f>ROUNDDOWN(SUM(AF$191:AF279)-SUM(AG$191:AG278),0)*$A279</f>
        <v>0</v>
      </c>
      <c r="AH279" s="227">
        <f t="shared" si="122"/>
        <v>0</v>
      </c>
      <c r="AI279" s="210">
        <f t="shared" si="123"/>
        <v>0</v>
      </c>
      <c r="AJ279" s="210">
        <f t="shared" si="124"/>
        <v>0</v>
      </c>
      <c r="AK279" s="210">
        <f t="shared" si="125"/>
        <v>0</v>
      </c>
      <c r="AL279" s="210">
        <f t="shared" si="126"/>
        <v>0</v>
      </c>
      <c r="AM279" s="210">
        <f t="shared" si="127"/>
        <v>0.05</v>
      </c>
      <c r="AN279" s="227">
        <f>ROUNDDOWN(SUM(AM$191:AM279)-SUM(AN$191:AN278),0)*$A279</f>
        <v>0</v>
      </c>
      <c r="AO279" s="227">
        <f t="shared" si="128"/>
        <v>0</v>
      </c>
      <c r="AP279" s="210">
        <f t="shared" si="140"/>
        <v>0.17162664512515882</v>
      </c>
      <c r="AQ279" s="210">
        <f t="shared" si="141"/>
        <v>0.17162664512515882</v>
      </c>
      <c r="AR279" s="210">
        <f t="shared" si="142"/>
        <v>0.17162664512515882</v>
      </c>
      <c r="AS279" s="210">
        <f t="shared" si="143"/>
        <v>0.17162664512515882</v>
      </c>
      <c r="AT279" s="210">
        <f t="shared" si="144"/>
        <v>0.17162664512515882</v>
      </c>
      <c r="AU279" s="227">
        <f t="shared" si="129"/>
        <v>5.8266011042210231</v>
      </c>
      <c r="AV279" s="227">
        <f t="shared" si="135"/>
        <v>1</v>
      </c>
      <c r="AW279" s="227">
        <f t="shared" si="136"/>
        <v>1</v>
      </c>
      <c r="AX279" s="227">
        <f t="shared" si="137"/>
        <v>1</v>
      </c>
      <c r="AY279" s="227">
        <f t="shared" si="138"/>
        <v>1</v>
      </c>
      <c r="AZ279" s="227">
        <f t="shared" si="139"/>
        <v>1</v>
      </c>
      <c r="BB279" s="227"/>
      <c r="BC279" s="227"/>
      <c r="BD279" s="227"/>
      <c r="BE279" s="227"/>
      <c r="BF279" s="227"/>
      <c r="BG279" s="227"/>
      <c r="BH279" s="227"/>
      <c r="BI279" s="227"/>
      <c r="BJ279" s="227"/>
      <c r="BK279" s="227"/>
    </row>
    <row r="280" spans="1:63" x14ac:dyDescent="0.3">
      <c r="A280" s="210">
        <f t="shared" si="130"/>
        <v>0</v>
      </c>
      <c r="B280" s="210">
        <f t="shared" si="131"/>
        <v>0</v>
      </c>
      <c r="C280" s="210">
        <f t="shared" si="114"/>
        <v>0</v>
      </c>
      <c r="D280" s="210">
        <f t="shared" si="132"/>
        <v>0</v>
      </c>
      <c r="E280" s="210">
        <f t="shared" si="115"/>
        <v>0</v>
      </c>
      <c r="F280" s="297">
        <v>90</v>
      </c>
      <c r="G280" s="210">
        <f t="shared" si="133"/>
        <v>91</v>
      </c>
      <c r="I280" s="210">
        <v>25</v>
      </c>
      <c r="J280" s="295"/>
      <c r="K280" s="295">
        <f t="shared" si="134"/>
        <v>0</v>
      </c>
      <c r="L280" s="295"/>
      <c r="M280" s="295"/>
      <c r="N280" s="295"/>
      <c r="O280" s="295"/>
      <c r="P280" s="295"/>
      <c r="Q280" s="295"/>
      <c r="R280" s="295"/>
      <c r="S280" s="295"/>
      <c r="T280" s="295">
        <f t="shared" si="116"/>
        <v>0</v>
      </c>
      <c r="U280" s="295"/>
      <c r="V280" s="295"/>
      <c r="W280" s="295"/>
      <c r="X280" s="295"/>
      <c r="Y280" s="295"/>
      <c r="Z280" s="295"/>
      <c r="AA280" s="295"/>
      <c r="AB280" s="210">
        <f t="shared" si="117"/>
        <v>0</v>
      </c>
      <c r="AC280" s="210">
        <f t="shared" si="118"/>
        <v>0</v>
      </c>
      <c r="AD280" s="210">
        <f t="shared" si="119"/>
        <v>0</v>
      </c>
      <c r="AE280" s="210">
        <f t="shared" si="120"/>
        <v>0</v>
      </c>
      <c r="AF280" s="227">
        <f t="shared" si="121"/>
        <v>0.05</v>
      </c>
      <c r="AG280" s="227">
        <f>ROUNDDOWN(SUM(AF$191:AF280)-SUM(AG$191:AG279),0)*$A280</f>
        <v>0</v>
      </c>
      <c r="AH280" s="227">
        <f t="shared" si="122"/>
        <v>0</v>
      </c>
      <c r="AI280" s="210">
        <f t="shared" si="123"/>
        <v>0</v>
      </c>
      <c r="AJ280" s="210">
        <f t="shared" si="124"/>
        <v>0</v>
      </c>
      <c r="AK280" s="210">
        <f t="shared" si="125"/>
        <v>0</v>
      </c>
      <c r="AL280" s="210">
        <f t="shared" si="126"/>
        <v>0</v>
      </c>
      <c r="AM280" s="210">
        <f t="shared" si="127"/>
        <v>0.05</v>
      </c>
      <c r="AN280" s="227">
        <f>ROUNDDOWN(SUM(AM$191:AM280)-SUM(AN$191:AN279),0)*$A280</f>
        <v>0</v>
      </c>
      <c r="AO280" s="227">
        <f t="shared" si="128"/>
        <v>0</v>
      </c>
      <c r="AP280" s="210">
        <f t="shared" si="140"/>
        <v>0.16826141678937137</v>
      </c>
      <c r="AQ280" s="210">
        <f t="shared" si="141"/>
        <v>0.16826141678937137</v>
      </c>
      <c r="AR280" s="210">
        <f t="shared" si="142"/>
        <v>0.16826141678937137</v>
      </c>
      <c r="AS280" s="210">
        <f t="shared" si="143"/>
        <v>0.16826141678937137</v>
      </c>
      <c r="AT280" s="210">
        <f t="shared" si="144"/>
        <v>0.16826141678937137</v>
      </c>
      <c r="AU280" s="227">
        <f t="shared" si="129"/>
        <v>5.9431331263054439</v>
      </c>
      <c r="AV280" s="227">
        <f t="shared" si="135"/>
        <v>1</v>
      </c>
      <c r="AW280" s="227">
        <f t="shared" si="136"/>
        <v>1</v>
      </c>
      <c r="AX280" s="227">
        <f t="shared" si="137"/>
        <v>1</v>
      </c>
      <c r="AY280" s="227">
        <f t="shared" si="138"/>
        <v>1</v>
      </c>
      <c r="AZ280" s="227">
        <f t="shared" si="139"/>
        <v>1</v>
      </c>
      <c r="BB280" s="227"/>
      <c r="BC280" s="227"/>
      <c r="BD280" s="227"/>
      <c r="BE280" s="227"/>
      <c r="BF280" s="227"/>
      <c r="BG280" s="227"/>
      <c r="BH280" s="227"/>
      <c r="BI280" s="227"/>
      <c r="BJ280" s="227"/>
      <c r="BK280" s="227"/>
    </row>
    <row r="281" spans="1:63" x14ac:dyDescent="0.3">
      <c r="A281" s="210">
        <f t="shared" si="130"/>
        <v>0</v>
      </c>
      <c r="B281" s="210">
        <f t="shared" si="131"/>
        <v>0</v>
      </c>
      <c r="C281" s="210">
        <f t="shared" si="114"/>
        <v>0</v>
      </c>
      <c r="D281" s="210">
        <f t="shared" si="132"/>
        <v>0</v>
      </c>
      <c r="E281" s="210">
        <f t="shared" si="115"/>
        <v>0</v>
      </c>
      <c r="F281" s="297">
        <v>91</v>
      </c>
      <c r="G281" s="210">
        <f t="shared" si="133"/>
        <v>92</v>
      </c>
      <c r="I281" s="210">
        <v>25</v>
      </c>
      <c r="J281" s="295"/>
      <c r="K281" s="295">
        <f t="shared" si="134"/>
        <v>0</v>
      </c>
      <c r="L281" s="295"/>
      <c r="M281" s="295"/>
      <c r="N281" s="295"/>
      <c r="O281" s="295"/>
      <c r="P281" s="295"/>
      <c r="Q281" s="295"/>
      <c r="R281" s="295"/>
      <c r="S281" s="295"/>
      <c r="T281" s="295">
        <f t="shared" si="116"/>
        <v>0</v>
      </c>
      <c r="U281" s="295"/>
      <c r="V281" s="295"/>
      <c r="W281" s="295"/>
      <c r="X281" s="295"/>
      <c r="Y281" s="295"/>
      <c r="Z281" s="295"/>
      <c r="AA281" s="295"/>
      <c r="AB281" s="210">
        <f t="shared" si="117"/>
        <v>0</v>
      </c>
      <c r="AC281" s="210">
        <f t="shared" si="118"/>
        <v>0</v>
      </c>
      <c r="AD281" s="210">
        <f t="shared" si="119"/>
        <v>0</v>
      </c>
      <c r="AE281" s="210">
        <f t="shared" si="120"/>
        <v>0</v>
      </c>
      <c r="AF281" s="227">
        <f t="shared" si="121"/>
        <v>0.05</v>
      </c>
      <c r="AG281" s="227">
        <f>ROUNDDOWN(SUM(AF$191:AF281)-SUM(AG$191:AG280),0)*$A281</f>
        <v>0</v>
      </c>
      <c r="AH281" s="227">
        <f t="shared" si="122"/>
        <v>0</v>
      </c>
      <c r="AI281" s="210">
        <f t="shared" si="123"/>
        <v>0</v>
      </c>
      <c r="AJ281" s="210">
        <f t="shared" si="124"/>
        <v>0</v>
      </c>
      <c r="AK281" s="210">
        <f t="shared" si="125"/>
        <v>0</v>
      </c>
      <c r="AL281" s="210">
        <f t="shared" si="126"/>
        <v>0</v>
      </c>
      <c r="AM281" s="210">
        <f t="shared" si="127"/>
        <v>0.05</v>
      </c>
      <c r="AN281" s="227">
        <f>ROUNDDOWN(SUM(AM$191:AM281)-SUM(AN$191:AN280),0)*$A281</f>
        <v>0</v>
      </c>
      <c r="AO281" s="227">
        <f t="shared" si="128"/>
        <v>0</v>
      </c>
      <c r="AP281" s="210">
        <f t="shared" si="140"/>
        <v>0.16496217332291313</v>
      </c>
      <c r="AQ281" s="210">
        <f t="shared" si="141"/>
        <v>0.16496217332291313</v>
      </c>
      <c r="AR281" s="210">
        <f t="shared" si="142"/>
        <v>0.16496217332291313</v>
      </c>
      <c r="AS281" s="210">
        <f t="shared" si="143"/>
        <v>0.16496217332291313</v>
      </c>
      <c r="AT281" s="210">
        <f t="shared" si="144"/>
        <v>0.16496217332291313</v>
      </c>
      <c r="AU281" s="227">
        <f t="shared" si="129"/>
        <v>6.0619957888315517</v>
      </c>
      <c r="AV281" s="227">
        <f t="shared" si="135"/>
        <v>1</v>
      </c>
      <c r="AW281" s="227">
        <f t="shared" si="136"/>
        <v>1</v>
      </c>
      <c r="AX281" s="227">
        <f t="shared" si="137"/>
        <v>1</v>
      </c>
      <c r="AY281" s="227">
        <f t="shared" si="138"/>
        <v>1</v>
      </c>
      <c r="AZ281" s="227">
        <f t="shared" si="139"/>
        <v>1</v>
      </c>
      <c r="BB281" s="227"/>
      <c r="BC281" s="227"/>
      <c r="BD281" s="227"/>
      <c r="BE281" s="227"/>
      <c r="BF281" s="227"/>
      <c r="BG281" s="227"/>
      <c r="BH281" s="227"/>
      <c r="BI281" s="227"/>
      <c r="BJ281" s="227"/>
      <c r="BK281" s="227"/>
    </row>
    <row r="282" spans="1:63" x14ac:dyDescent="0.3">
      <c r="A282" s="210">
        <f t="shared" si="130"/>
        <v>0</v>
      </c>
      <c r="B282" s="210">
        <f t="shared" si="131"/>
        <v>0</v>
      </c>
      <c r="C282" s="210">
        <f t="shared" si="114"/>
        <v>0</v>
      </c>
      <c r="D282" s="210">
        <f t="shared" si="132"/>
        <v>0</v>
      </c>
      <c r="E282" s="210">
        <f t="shared" si="115"/>
        <v>0</v>
      </c>
      <c r="F282" s="297">
        <v>92</v>
      </c>
      <c r="G282" s="210">
        <f t="shared" si="133"/>
        <v>93</v>
      </c>
      <c r="I282" s="210">
        <v>25</v>
      </c>
      <c r="J282" s="295"/>
      <c r="K282" s="295">
        <f t="shared" si="134"/>
        <v>0</v>
      </c>
      <c r="L282" s="295"/>
      <c r="M282" s="295"/>
      <c r="N282" s="295"/>
      <c r="O282" s="295"/>
      <c r="P282" s="295"/>
      <c r="Q282" s="295"/>
      <c r="R282" s="295"/>
      <c r="S282" s="295"/>
      <c r="T282" s="295">
        <f t="shared" si="116"/>
        <v>0</v>
      </c>
      <c r="U282" s="295"/>
      <c r="V282" s="295"/>
      <c r="W282" s="295"/>
      <c r="X282" s="295"/>
      <c r="Y282" s="295"/>
      <c r="Z282" s="295"/>
      <c r="AA282" s="295"/>
      <c r="AB282" s="210">
        <f t="shared" si="117"/>
        <v>0</v>
      </c>
      <c r="AC282" s="210">
        <f t="shared" si="118"/>
        <v>0</v>
      </c>
      <c r="AD282" s="210">
        <f t="shared" si="119"/>
        <v>0</v>
      </c>
      <c r="AE282" s="210">
        <f t="shared" si="120"/>
        <v>0</v>
      </c>
      <c r="AF282" s="227">
        <f t="shared" si="121"/>
        <v>0.05</v>
      </c>
      <c r="AG282" s="227">
        <f>ROUNDDOWN(SUM(AF$191:AF282)-SUM(AG$191:AG281),0)*$A282</f>
        <v>0</v>
      </c>
      <c r="AH282" s="227">
        <f t="shared" si="122"/>
        <v>0</v>
      </c>
      <c r="AI282" s="210">
        <f t="shared" si="123"/>
        <v>0</v>
      </c>
      <c r="AJ282" s="210">
        <f t="shared" si="124"/>
        <v>0</v>
      </c>
      <c r="AK282" s="210">
        <f t="shared" si="125"/>
        <v>0</v>
      </c>
      <c r="AL282" s="210">
        <f t="shared" si="126"/>
        <v>0</v>
      </c>
      <c r="AM282" s="210">
        <f t="shared" si="127"/>
        <v>0.05</v>
      </c>
      <c r="AN282" s="227">
        <f>ROUNDDOWN(SUM(AM$191:AM282)-SUM(AN$191:AN281),0)*$A282</f>
        <v>0</v>
      </c>
      <c r="AO282" s="227">
        <f t="shared" si="128"/>
        <v>0</v>
      </c>
      <c r="AP282" s="210">
        <f t="shared" si="140"/>
        <v>0.16172762090481677</v>
      </c>
      <c r="AQ282" s="210">
        <f t="shared" si="141"/>
        <v>0.16172762090481677</v>
      </c>
      <c r="AR282" s="210">
        <f t="shared" si="142"/>
        <v>0.16172762090481677</v>
      </c>
      <c r="AS282" s="210">
        <f t="shared" si="143"/>
        <v>0.16172762090481677</v>
      </c>
      <c r="AT282" s="210">
        <f t="shared" si="144"/>
        <v>0.16172762090481677</v>
      </c>
      <c r="AU282" s="227">
        <f t="shared" si="129"/>
        <v>6.1832357046081841</v>
      </c>
      <c r="AV282" s="227">
        <f t="shared" si="135"/>
        <v>1</v>
      </c>
      <c r="AW282" s="227">
        <f t="shared" si="136"/>
        <v>1</v>
      </c>
      <c r="AX282" s="227">
        <f t="shared" si="137"/>
        <v>1</v>
      </c>
      <c r="AY282" s="227">
        <f t="shared" si="138"/>
        <v>1</v>
      </c>
      <c r="AZ282" s="227">
        <f t="shared" si="139"/>
        <v>1</v>
      </c>
      <c r="BB282" s="227"/>
      <c r="BC282" s="227"/>
      <c r="BD282" s="227"/>
      <c r="BE282" s="227"/>
      <c r="BF282" s="227"/>
      <c r="BG282" s="227"/>
      <c r="BH282" s="227"/>
      <c r="BI282" s="227"/>
      <c r="BJ282" s="227"/>
      <c r="BK282" s="227"/>
    </row>
    <row r="283" spans="1:63" x14ac:dyDescent="0.3">
      <c r="A283" s="210">
        <f t="shared" si="130"/>
        <v>0</v>
      </c>
      <c r="B283" s="210">
        <f t="shared" si="131"/>
        <v>0</v>
      </c>
      <c r="C283" s="210">
        <f t="shared" si="114"/>
        <v>0</v>
      </c>
      <c r="D283" s="210">
        <f t="shared" si="132"/>
        <v>0</v>
      </c>
      <c r="E283" s="210">
        <f t="shared" si="115"/>
        <v>0</v>
      </c>
      <c r="F283" s="297">
        <v>93</v>
      </c>
      <c r="G283" s="210">
        <f t="shared" si="133"/>
        <v>94</v>
      </c>
      <c r="I283" s="210">
        <v>25</v>
      </c>
      <c r="J283" s="295"/>
      <c r="K283" s="295">
        <f t="shared" si="134"/>
        <v>0</v>
      </c>
      <c r="L283" s="295"/>
      <c r="M283" s="295"/>
      <c r="N283" s="295"/>
      <c r="O283" s="295"/>
      <c r="P283" s="295"/>
      <c r="Q283" s="295"/>
      <c r="R283" s="295"/>
      <c r="S283" s="295"/>
      <c r="T283" s="295">
        <f t="shared" si="116"/>
        <v>0</v>
      </c>
      <c r="U283" s="295"/>
      <c r="V283" s="295"/>
      <c r="W283" s="295"/>
      <c r="X283" s="295"/>
      <c r="Y283" s="295"/>
      <c r="Z283" s="295"/>
      <c r="AA283" s="295"/>
      <c r="AB283" s="210">
        <f t="shared" si="117"/>
        <v>0</v>
      </c>
      <c r="AC283" s="210">
        <f t="shared" si="118"/>
        <v>0</v>
      </c>
      <c r="AD283" s="210">
        <f t="shared" si="119"/>
        <v>0</v>
      </c>
      <c r="AE283" s="210">
        <f t="shared" si="120"/>
        <v>0</v>
      </c>
      <c r="AF283" s="227">
        <f t="shared" si="121"/>
        <v>0.05</v>
      </c>
      <c r="AG283" s="227">
        <f>ROUNDDOWN(SUM(AF$191:AF283)-SUM(AG$191:AG282),0)*$A283</f>
        <v>0</v>
      </c>
      <c r="AH283" s="227">
        <f t="shared" si="122"/>
        <v>0</v>
      </c>
      <c r="AI283" s="210">
        <f t="shared" si="123"/>
        <v>0</v>
      </c>
      <c r="AJ283" s="210">
        <f t="shared" si="124"/>
        <v>0</v>
      </c>
      <c r="AK283" s="210">
        <f t="shared" si="125"/>
        <v>0</v>
      </c>
      <c r="AL283" s="210">
        <f t="shared" si="126"/>
        <v>0</v>
      </c>
      <c r="AM283" s="210">
        <f t="shared" si="127"/>
        <v>0.05</v>
      </c>
      <c r="AN283" s="227">
        <f>ROUNDDOWN(SUM(AM$191:AM283)-SUM(AN$191:AN282),0)*$A283</f>
        <v>0</v>
      </c>
      <c r="AO283" s="227">
        <f t="shared" si="128"/>
        <v>0</v>
      </c>
      <c r="AP283" s="210">
        <f t="shared" si="140"/>
        <v>0.15855649108315373</v>
      </c>
      <c r="AQ283" s="210">
        <f t="shared" si="141"/>
        <v>0.15855649108315373</v>
      </c>
      <c r="AR283" s="210">
        <f t="shared" si="142"/>
        <v>0.15855649108315373</v>
      </c>
      <c r="AS283" s="210">
        <f t="shared" si="143"/>
        <v>0.15855649108315373</v>
      </c>
      <c r="AT283" s="210">
        <f t="shared" si="144"/>
        <v>0.15855649108315373</v>
      </c>
      <c r="AU283" s="227">
        <f t="shared" si="129"/>
        <v>6.306900418700347</v>
      </c>
      <c r="AV283" s="227">
        <f t="shared" si="135"/>
        <v>1</v>
      </c>
      <c r="AW283" s="227">
        <f t="shared" si="136"/>
        <v>1</v>
      </c>
      <c r="AX283" s="227">
        <f t="shared" si="137"/>
        <v>1</v>
      </c>
      <c r="AY283" s="227">
        <f t="shared" si="138"/>
        <v>1</v>
      </c>
      <c r="AZ283" s="227">
        <f t="shared" si="139"/>
        <v>1</v>
      </c>
      <c r="BB283" s="227"/>
      <c r="BC283" s="227"/>
      <c r="BD283" s="227"/>
      <c r="BE283" s="227"/>
      <c r="BF283" s="227"/>
      <c r="BG283" s="227"/>
      <c r="BH283" s="227"/>
      <c r="BI283" s="227"/>
      <c r="BJ283" s="227"/>
      <c r="BK283" s="227"/>
    </row>
    <row r="284" spans="1:63" x14ac:dyDescent="0.3">
      <c r="A284" s="210">
        <f t="shared" si="130"/>
        <v>0</v>
      </c>
      <c r="B284" s="210">
        <f t="shared" si="131"/>
        <v>0</v>
      </c>
      <c r="C284" s="210">
        <f t="shared" si="114"/>
        <v>0</v>
      </c>
      <c r="D284" s="210">
        <f t="shared" si="132"/>
        <v>0</v>
      </c>
      <c r="E284" s="210">
        <f t="shared" si="115"/>
        <v>0</v>
      </c>
      <c r="F284" s="297">
        <v>94</v>
      </c>
      <c r="G284" s="210">
        <f t="shared" si="133"/>
        <v>95</v>
      </c>
      <c r="I284" s="210">
        <v>25</v>
      </c>
      <c r="J284" s="295"/>
      <c r="K284" s="295">
        <f t="shared" si="134"/>
        <v>0</v>
      </c>
      <c r="L284" s="295"/>
      <c r="M284" s="295"/>
      <c r="N284" s="295"/>
      <c r="O284" s="295"/>
      <c r="P284" s="295"/>
      <c r="Q284" s="295"/>
      <c r="R284" s="295"/>
      <c r="S284" s="295"/>
      <c r="T284" s="295">
        <f t="shared" si="116"/>
        <v>0</v>
      </c>
      <c r="U284" s="295"/>
      <c r="V284" s="295"/>
      <c r="W284" s="295"/>
      <c r="X284" s="295"/>
      <c r="Y284" s="295"/>
      <c r="Z284" s="295"/>
      <c r="AA284" s="295"/>
      <c r="AB284" s="210">
        <f t="shared" si="117"/>
        <v>0</v>
      </c>
      <c r="AC284" s="210">
        <f t="shared" si="118"/>
        <v>0</v>
      </c>
      <c r="AD284" s="210">
        <f t="shared" si="119"/>
        <v>0</v>
      </c>
      <c r="AE284" s="210">
        <f t="shared" si="120"/>
        <v>0</v>
      </c>
      <c r="AF284" s="227">
        <f t="shared" si="121"/>
        <v>0.05</v>
      </c>
      <c r="AG284" s="227">
        <f>ROUNDDOWN(SUM(AF$191:AF284)-SUM(AG$191:AG283),0)*$A284</f>
        <v>0</v>
      </c>
      <c r="AH284" s="227">
        <f t="shared" si="122"/>
        <v>0</v>
      </c>
      <c r="AI284" s="210">
        <f t="shared" si="123"/>
        <v>0</v>
      </c>
      <c r="AJ284" s="210">
        <f t="shared" si="124"/>
        <v>0</v>
      </c>
      <c r="AK284" s="210">
        <f t="shared" si="125"/>
        <v>0</v>
      </c>
      <c r="AL284" s="210">
        <f t="shared" si="126"/>
        <v>0</v>
      </c>
      <c r="AM284" s="210">
        <f t="shared" si="127"/>
        <v>0.05</v>
      </c>
      <c r="AN284" s="227">
        <f>ROUNDDOWN(SUM(AM$191:AM284)-SUM(AN$191:AN283),0)*$A284</f>
        <v>0</v>
      </c>
      <c r="AO284" s="227">
        <f t="shared" si="128"/>
        <v>0</v>
      </c>
      <c r="AP284" s="210">
        <f t="shared" si="140"/>
        <v>0.15544754027760166</v>
      </c>
      <c r="AQ284" s="210">
        <f t="shared" si="141"/>
        <v>0.15544754027760166</v>
      </c>
      <c r="AR284" s="210">
        <f t="shared" si="142"/>
        <v>0.15544754027760166</v>
      </c>
      <c r="AS284" s="210">
        <f t="shared" si="143"/>
        <v>0.15544754027760166</v>
      </c>
      <c r="AT284" s="210">
        <f t="shared" si="144"/>
        <v>0.15544754027760166</v>
      </c>
      <c r="AU284" s="227">
        <f t="shared" si="129"/>
        <v>6.4330384270743544</v>
      </c>
      <c r="AV284" s="227">
        <f t="shared" si="135"/>
        <v>1</v>
      </c>
      <c r="AW284" s="227">
        <f t="shared" si="136"/>
        <v>1</v>
      </c>
      <c r="AX284" s="227">
        <f t="shared" si="137"/>
        <v>1</v>
      </c>
      <c r="AY284" s="227">
        <f t="shared" si="138"/>
        <v>1</v>
      </c>
      <c r="AZ284" s="227">
        <f t="shared" si="139"/>
        <v>1</v>
      </c>
      <c r="BB284" s="227"/>
      <c r="BC284" s="227"/>
      <c r="BD284" s="227"/>
      <c r="BE284" s="227"/>
      <c r="BF284" s="227"/>
      <c r="BG284" s="227"/>
      <c r="BH284" s="227"/>
      <c r="BI284" s="227"/>
      <c r="BJ284" s="227"/>
      <c r="BK284" s="227"/>
    </row>
    <row r="285" spans="1:63" x14ac:dyDescent="0.3">
      <c r="A285" s="210">
        <f t="shared" si="130"/>
        <v>0</v>
      </c>
      <c r="B285" s="210">
        <f t="shared" si="131"/>
        <v>0</v>
      </c>
      <c r="C285" s="210">
        <f t="shared" si="114"/>
        <v>0</v>
      </c>
      <c r="D285" s="210">
        <f t="shared" si="132"/>
        <v>0</v>
      </c>
      <c r="E285" s="210">
        <f t="shared" si="115"/>
        <v>0</v>
      </c>
      <c r="F285" s="297">
        <v>95</v>
      </c>
      <c r="G285" s="210">
        <f t="shared" si="133"/>
        <v>96</v>
      </c>
      <c r="I285" s="210">
        <v>25</v>
      </c>
      <c r="J285" s="295"/>
      <c r="K285" s="295">
        <f t="shared" si="134"/>
        <v>0</v>
      </c>
      <c r="L285" s="295"/>
      <c r="M285" s="295"/>
      <c r="N285" s="295"/>
      <c r="O285" s="295"/>
      <c r="P285" s="295"/>
      <c r="Q285" s="295"/>
      <c r="R285" s="295"/>
      <c r="S285" s="295"/>
      <c r="T285" s="295">
        <f t="shared" si="116"/>
        <v>0</v>
      </c>
      <c r="U285" s="295"/>
      <c r="V285" s="295"/>
      <c r="W285" s="295"/>
      <c r="X285" s="295"/>
      <c r="Y285" s="295"/>
      <c r="Z285" s="295"/>
      <c r="AA285" s="295"/>
      <c r="AB285" s="210">
        <f t="shared" si="117"/>
        <v>0</v>
      </c>
      <c r="AC285" s="210">
        <f t="shared" si="118"/>
        <v>0</v>
      </c>
      <c r="AD285" s="210">
        <f t="shared" si="119"/>
        <v>0</v>
      </c>
      <c r="AE285" s="210">
        <f t="shared" si="120"/>
        <v>0</v>
      </c>
      <c r="AF285" s="227">
        <f t="shared" si="121"/>
        <v>0.05</v>
      </c>
      <c r="AG285" s="227">
        <f>ROUNDDOWN(SUM(AF$191:AF285)-SUM(AG$191:AG284),0)*$A285</f>
        <v>0</v>
      </c>
      <c r="AH285" s="227">
        <f t="shared" si="122"/>
        <v>0</v>
      </c>
      <c r="AI285" s="210">
        <f t="shared" si="123"/>
        <v>0</v>
      </c>
      <c r="AJ285" s="210">
        <f t="shared" si="124"/>
        <v>0</v>
      </c>
      <c r="AK285" s="210">
        <f t="shared" si="125"/>
        <v>0</v>
      </c>
      <c r="AL285" s="210">
        <f t="shared" si="126"/>
        <v>0</v>
      </c>
      <c r="AM285" s="210">
        <f t="shared" si="127"/>
        <v>0.05</v>
      </c>
      <c r="AN285" s="227">
        <f>ROUNDDOWN(SUM(AM$191:AM285)-SUM(AN$191:AN284),0)*$A285</f>
        <v>0</v>
      </c>
      <c r="AO285" s="227">
        <f t="shared" si="128"/>
        <v>0</v>
      </c>
      <c r="AP285" s="210">
        <f t="shared" si="140"/>
        <v>0.15239954929176638</v>
      </c>
      <c r="AQ285" s="210">
        <f t="shared" si="141"/>
        <v>0.15239954929176638</v>
      </c>
      <c r="AR285" s="210">
        <f t="shared" si="142"/>
        <v>0.15239954929176638</v>
      </c>
      <c r="AS285" s="210">
        <f t="shared" si="143"/>
        <v>0.15239954929176638</v>
      </c>
      <c r="AT285" s="210">
        <f t="shared" si="144"/>
        <v>0.15239954929176638</v>
      </c>
      <c r="AU285" s="227">
        <f t="shared" si="129"/>
        <v>6.5616991956158399</v>
      </c>
      <c r="AV285" s="227">
        <f t="shared" si="135"/>
        <v>1</v>
      </c>
      <c r="AW285" s="227">
        <f t="shared" si="136"/>
        <v>1</v>
      </c>
      <c r="AX285" s="227">
        <f t="shared" si="137"/>
        <v>1</v>
      </c>
      <c r="AY285" s="227">
        <f t="shared" si="138"/>
        <v>1</v>
      </c>
      <c r="AZ285" s="227">
        <f t="shared" si="139"/>
        <v>1</v>
      </c>
      <c r="BB285" s="227"/>
      <c r="BC285" s="227"/>
      <c r="BD285" s="227"/>
      <c r="BE285" s="227"/>
      <c r="BF285" s="227"/>
      <c r="BG285" s="227"/>
      <c r="BH285" s="227"/>
      <c r="BI285" s="227"/>
      <c r="BJ285" s="227"/>
      <c r="BK285" s="227"/>
    </row>
    <row r="286" spans="1:63" x14ac:dyDescent="0.3">
      <c r="A286" s="210">
        <f t="shared" si="130"/>
        <v>0</v>
      </c>
      <c r="B286" s="210">
        <f t="shared" si="131"/>
        <v>0</v>
      </c>
      <c r="C286" s="210">
        <f t="shared" si="114"/>
        <v>0</v>
      </c>
      <c r="D286" s="210">
        <f t="shared" si="132"/>
        <v>0</v>
      </c>
      <c r="E286" s="210">
        <f t="shared" si="115"/>
        <v>0</v>
      </c>
      <c r="F286" s="297">
        <v>96</v>
      </c>
      <c r="G286" s="210">
        <f t="shared" si="133"/>
        <v>97</v>
      </c>
      <c r="I286" s="210">
        <v>25</v>
      </c>
      <c r="J286" s="295"/>
      <c r="K286" s="295">
        <f t="shared" si="134"/>
        <v>0</v>
      </c>
      <c r="L286" s="295"/>
      <c r="M286" s="295"/>
      <c r="N286" s="295"/>
      <c r="O286" s="295"/>
      <c r="P286" s="295"/>
      <c r="Q286" s="295"/>
      <c r="R286" s="295"/>
      <c r="S286" s="295"/>
      <c r="T286" s="295">
        <f t="shared" si="116"/>
        <v>0</v>
      </c>
      <c r="U286" s="295"/>
      <c r="V286" s="295"/>
      <c r="W286" s="295"/>
      <c r="X286" s="295"/>
      <c r="Y286" s="295"/>
      <c r="Z286" s="295"/>
      <c r="AA286" s="295"/>
      <c r="AB286" s="210">
        <f t="shared" si="117"/>
        <v>0</v>
      </c>
      <c r="AC286" s="210">
        <f t="shared" si="118"/>
        <v>0</v>
      </c>
      <c r="AD286" s="210">
        <f t="shared" si="119"/>
        <v>0</v>
      </c>
      <c r="AE286" s="210">
        <f t="shared" si="120"/>
        <v>0</v>
      </c>
      <c r="AF286" s="227">
        <f t="shared" si="121"/>
        <v>0.05</v>
      </c>
      <c r="AG286" s="227">
        <f>ROUNDDOWN(SUM(AF$191:AF286)-SUM(AG$191:AG285),0)*$A286</f>
        <v>0</v>
      </c>
      <c r="AH286" s="227">
        <f t="shared" si="122"/>
        <v>0</v>
      </c>
      <c r="AI286" s="210">
        <f t="shared" si="123"/>
        <v>0</v>
      </c>
      <c r="AJ286" s="210">
        <f t="shared" si="124"/>
        <v>0</v>
      </c>
      <c r="AK286" s="210">
        <f t="shared" si="125"/>
        <v>0</v>
      </c>
      <c r="AL286" s="210">
        <f t="shared" si="126"/>
        <v>0</v>
      </c>
      <c r="AM286" s="210">
        <f t="shared" si="127"/>
        <v>0.05</v>
      </c>
      <c r="AN286" s="227">
        <f>ROUNDDOWN(SUM(AM$191:AM286)-SUM(AN$191:AN285),0)*$A286</f>
        <v>0</v>
      </c>
      <c r="AO286" s="227">
        <f t="shared" si="128"/>
        <v>0</v>
      </c>
      <c r="AP286" s="210">
        <f t="shared" si="140"/>
        <v>0.14941132283506506</v>
      </c>
      <c r="AQ286" s="210">
        <f t="shared" si="141"/>
        <v>0.14941132283506506</v>
      </c>
      <c r="AR286" s="210">
        <f t="shared" si="142"/>
        <v>0.14941132283506506</v>
      </c>
      <c r="AS286" s="210">
        <f t="shared" si="143"/>
        <v>0.14941132283506506</v>
      </c>
      <c r="AT286" s="210">
        <f t="shared" si="144"/>
        <v>0.14941132283506506</v>
      </c>
      <c r="AU286" s="227">
        <f t="shared" si="129"/>
        <v>6.6929331795281577</v>
      </c>
      <c r="AV286" s="227">
        <f t="shared" si="135"/>
        <v>1</v>
      </c>
      <c r="AW286" s="227">
        <f t="shared" si="136"/>
        <v>1</v>
      </c>
      <c r="AX286" s="227">
        <f t="shared" si="137"/>
        <v>1</v>
      </c>
      <c r="AY286" s="227">
        <f t="shared" si="138"/>
        <v>1</v>
      </c>
      <c r="AZ286" s="227">
        <f t="shared" si="139"/>
        <v>1</v>
      </c>
      <c r="BB286" s="227"/>
      <c r="BC286" s="227"/>
      <c r="BD286" s="227"/>
      <c r="BE286" s="227"/>
      <c r="BF286" s="227"/>
      <c r="BG286" s="227"/>
      <c r="BH286" s="227"/>
      <c r="BI286" s="227"/>
      <c r="BJ286" s="227"/>
      <c r="BK286" s="227"/>
    </row>
    <row r="287" spans="1:63" x14ac:dyDescent="0.3">
      <c r="A287" s="210">
        <f t="shared" si="130"/>
        <v>0</v>
      </c>
      <c r="B287" s="210">
        <f t="shared" si="131"/>
        <v>0</v>
      </c>
      <c r="C287" s="210">
        <f t="shared" si="114"/>
        <v>0</v>
      </c>
      <c r="D287" s="210">
        <f t="shared" si="132"/>
        <v>0</v>
      </c>
      <c r="E287" s="210">
        <f t="shared" si="115"/>
        <v>0</v>
      </c>
      <c r="F287" s="297">
        <v>97</v>
      </c>
      <c r="G287" s="210">
        <f t="shared" si="133"/>
        <v>98</v>
      </c>
      <c r="I287" s="210">
        <v>25</v>
      </c>
      <c r="J287" s="295"/>
      <c r="K287" s="295">
        <f t="shared" si="134"/>
        <v>0</v>
      </c>
      <c r="L287" s="295"/>
      <c r="M287" s="295"/>
      <c r="N287" s="295"/>
      <c r="O287" s="295"/>
      <c r="P287" s="295"/>
      <c r="Q287" s="295"/>
      <c r="R287" s="295"/>
      <c r="S287" s="295"/>
      <c r="T287" s="295">
        <f t="shared" si="116"/>
        <v>0</v>
      </c>
      <c r="U287" s="295"/>
      <c r="V287" s="295"/>
      <c r="W287" s="295"/>
      <c r="X287" s="295"/>
      <c r="Y287" s="295"/>
      <c r="Z287" s="295"/>
      <c r="AA287" s="295"/>
      <c r="AB287" s="210">
        <f t="shared" si="117"/>
        <v>0</v>
      </c>
      <c r="AC287" s="210">
        <f t="shared" si="118"/>
        <v>0</v>
      </c>
      <c r="AD287" s="210">
        <f t="shared" si="119"/>
        <v>0</v>
      </c>
      <c r="AE287" s="210">
        <f t="shared" si="120"/>
        <v>0</v>
      </c>
      <c r="AF287" s="227">
        <f t="shared" si="121"/>
        <v>0.05</v>
      </c>
      <c r="AG287" s="227">
        <f>ROUNDDOWN(SUM(AF$191:AF287)-SUM(AG$191:AG286),0)*$A287</f>
        <v>0</v>
      </c>
      <c r="AH287" s="227">
        <f>AG287*$AS287</f>
        <v>0</v>
      </c>
      <c r="AI287" s="210">
        <f t="shared" si="123"/>
        <v>0</v>
      </c>
      <c r="AJ287" s="210">
        <f t="shared" si="124"/>
        <v>0</v>
      </c>
      <c r="AK287" s="210">
        <f t="shared" si="125"/>
        <v>0</v>
      </c>
      <c r="AL287" s="210">
        <f t="shared" si="126"/>
        <v>0</v>
      </c>
      <c r="AM287" s="210">
        <f t="shared" si="127"/>
        <v>0.05</v>
      </c>
      <c r="AN287" s="227">
        <f>ROUNDDOWN(SUM(AM$191:AM287)-SUM(AN$191:AN286),0)*$A287</f>
        <v>0</v>
      </c>
      <c r="AO287" s="227">
        <f>AN287*$AS287</f>
        <v>0</v>
      </c>
      <c r="AP287" s="210">
        <f t="shared" si="140"/>
        <v>0.14648168905398534</v>
      </c>
      <c r="AQ287" s="210">
        <f t="shared" si="141"/>
        <v>0.14648168905398534</v>
      </c>
      <c r="AR287" s="210">
        <f t="shared" si="142"/>
        <v>0.14648168905398534</v>
      </c>
      <c r="AS287" s="210">
        <f t="shared" si="143"/>
        <v>0.14648168905398534</v>
      </c>
      <c r="AT287" s="210">
        <f t="shared" si="144"/>
        <v>0.14648168905398534</v>
      </c>
      <c r="AU287" s="227">
        <f t="shared" si="129"/>
        <v>6.8267918431187216</v>
      </c>
      <c r="AV287" s="227">
        <f t="shared" si="135"/>
        <v>1</v>
      </c>
      <c r="AW287" s="227">
        <f t="shared" si="136"/>
        <v>1</v>
      </c>
      <c r="AX287" s="227">
        <f t="shared" si="137"/>
        <v>1</v>
      </c>
      <c r="AY287" s="227">
        <f t="shared" si="138"/>
        <v>1</v>
      </c>
      <c r="AZ287" s="227">
        <f t="shared" si="139"/>
        <v>1</v>
      </c>
      <c r="BB287" s="227"/>
      <c r="BC287" s="227"/>
      <c r="BD287" s="227"/>
      <c r="BE287" s="227"/>
      <c r="BF287" s="227"/>
      <c r="BG287" s="227"/>
      <c r="BH287" s="227"/>
      <c r="BI287" s="227"/>
      <c r="BJ287" s="227"/>
      <c r="BK287" s="227"/>
    </row>
    <row r="288" spans="1:63" x14ac:dyDescent="0.3">
      <c r="A288" s="210">
        <f t="shared" si="130"/>
        <v>0</v>
      </c>
      <c r="B288" s="210">
        <f t="shared" si="131"/>
        <v>0</v>
      </c>
      <c r="C288" s="210">
        <f t="shared" si="114"/>
        <v>0</v>
      </c>
      <c r="D288" s="210">
        <f t="shared" si="132"/>
        <v>0</v>
      </c>
      <c r="E288" s="210">
        <f t="shared" si="115"/>
        <v>0</v>
      </c>
      <c r="F288" s="297">
        <v>98</v>
      </c>
      <c r="G288" s="210">
        <f t="shared" si="133"/>
        <v>99</v>
      </c>
      <c r="I288" s="210">
        <v>25</v>
      </c>
      <c r="J288" s="295"/>
      <c r="K288" s="295">
        <f t="shared" si="134"/>
        <v>0</v>
      </c>
      <c r="L288" s="295"/>
      <c r="M288" s="295"/>
      <c r="N288" s="295"/>
      <c r="O288" s="295"/>
      <c r="P288" s="295"/>
      <c r="Q288" s="295"/>
      <c r="R288" s="295"/>
      <c r="S288" s="295"/>
      <c r="T288" s="295">
        <f t="shared" si="116"/>
        <v>0</v>
      </c>
      <c r="U288" s="295"/>
      <c r="V288" s="295"/>
      <c r="W288" s="295"/>
      <c r="X288" s="295"/>
      <c r="Y288" s="295"/>
      <c r="Z288" s="295"/>
      <c r="AA288" s="295"/>
      <c r="AB288" s="210">
        <f t="shared" si="117"/>
        <v>0</v>
      </c>
      <c r="AC288" s="210">
        <f t="shared" si="118"/>
        <v>0</v>
      </c>
      <c r="AD288" s="210">
        <f t="shared" si="119"/>
        <v>0</v>
      </c>
      <c r="AE288" s="210">
        <f t="shared" si="120"/>
        <v>0</v>
      </c>
      <c r="AF288" s="227">
        <f t="shared" si="121"/>
        <v>0.05</v>
      </c>
      <c r="AG288" s="227">
        <f>ROUNDDOWN(SUM(AF$191:AF288)-SUM(AG$191:AG287),0)*$A288</f>
        <v>0</v>
      </c>
      <c r="AH288" s="227">
        <f>AG288*$AS288</f>
        <v>0</v>
      </c>
      <c r="AI288" s="210">
        <f t="shared" si="123"/>
        <v>0</v>
      </c>
      <c r="AJ288" s="210">
        <f t="shared" si="124"/>
        <v>0</v>
      </c>
      <c r="AK288" s="210">
        <f t="shared" si="125"/>
        <v>0</v>
      </c>
      <c r="AL288" s="210">
        <f t="shared" si="126"/>
        <v>0</v>
      </c>
      <c r="AM288" s="210">
        <f t="shared" si="127"/>
        <v>0.05</v>
      </c>
      <c r="AN288" s="227">
        <f>ROUNDDOWN(SUM(AM$191:AM288)-SUM(AN$191:AN287),0)*$A288</f>
        <v>0</v>
      </c>
      <c r="AO288" s="227">
        <f>AN288*$AS288</f>
        <v>0</v>
      </c>
      <c r="AP288" s="210">
        <f t="shared" si="140"/>
        <v>0.14360949907253467</v>
      </c>
      <c r="AQ288" s="210">
        <f t="shared" si="141"/>
        <v>0.14360949907253467</v>
      </c>
      <c r="AR288" s="210">
        <f t="shared" si="142"/>
        <v>0.14360949907253467</v>
      </c>
      <c r="AS288" s="210">
        <f t="shared" si="143"/>
        <v>0.14360949907253467</v>
      </c>
      <c r="AT288" s="210">
        <f t="shared" si="144"/>
        <v>0.14360949907253467</v>
      </c>
      <c r="AU288" s="227">
        <f t="shared" si="129"/>
        <v>6.963327679981095</v>
      </c>
      <c r="AV288" s="227">
        <f t="shared" si="135"/>
        <v>1</v>
      </c>
      <c r="AW288" s="227">
        <f t="shared" si="136"/>
        <v>1</v>
      </c>
      <c r="AX288" s="227">
        <f t="shared" si="137"/>
        <v>1</v>
      </c>
      <c r="AY288" s="227">
        <f t="shared" si="138"/>
        <v>1</v>
      </c>
      <c r="AZ288" s="227">
        <f t="shared" si="139"/>
        <v>1</v>
      </c>
      <c r="BB288" s="227"/>
      <c r="BC288" s="227"/>
      <c r="BD288" s="227"/>
      <c r="BE288" s="227"/>
      <c r="BF288" s="227"/>
      <c r="BG288" s="227"/>
      <c r="BH288" s="227"/>
      <c r="BI288" s="227"/>
      <c r="BJ288" s="227"/>
      <c r="BK288" s="227"/>
    </row>
    <row r="289" spans="1:76" x14ac:dyDescent="0.3">
      <c r="A289" s="210">
        <f t="shared" si="130"/>
        <v>0</v>
      </c>
      <c r="B289" s="210">
        <f t="shared" si="131"/>
        <v>0</v>
      </c>
      <c r="C289" s="210">
        <f t="shared" si="114"/>
        <v>0</v>
      </c>
      <c r="D289" s="210">
        <f t="shared" si="132"/>
        <v>0</v>
      </c>
      <c r="E289" s="210">
        <f t="shared" si="115"/>
        <v>0</v>
      </c>
      <c r="F289" s="297">
        <v>99</v>
      </c>
      <c r="G289" s="210">
        <f t="shared" si="133"/>
        <v>100</v>
      </c>
      <c r="I289" s="210">
        <v>25</v>
      </c>
      <c r="J289" s="295"/>
      <c r="K289" s="295">
        <f t="shared" si="134"/>
        <v>0</v>
      </c>
      <c r="L289" s="295"/>
      <c r="M289" s="295"/>
      <c r="N289" s="295"/>
      <c r="O289" s="295"/>
      <c r="P289" s="295"/>
      <c r="Q289" s="295"/>
      <c r="R289" s="295"/>
      <c r="S289" s="295"/>
      <c r="T289" s="295">
        <f t="shared" si="116"/>
        <v>0</v>
      </c>
      <c r="U289" s="295"/>
      <c r="V289" s="295"/>
      <c r="W289" s="295"/>
      <c r="X289" s="295"/>
      <c r="Y289" s="295"/>
      <c r="Z289" s="295"/>
      <c r="AA289" s="295"/>
      <c r="AB289" s="210">
        <f t="shared" si="117"/>
        <v>0</v>
      </c>
      <c r="AC289" s="210">
        <f t="shared" si="118"/>
        <v>0</v>
      </c>
      <c r="AD289" s="210">
        <f t="shared" si="119"/>
        <v>0</v>
      </c>
      <c r="AE289" s="210">
        <f t="shared" si="120"/>
        <v>0</v>
      </c>
      <c r="AF289" s="227">
        <f t="shared" si="121"/>
        <v>0.05</v>
      </c>
      <c r="AG289" s="227">
        <f>ROUNDDOWN(SUM(AF$191:AF289)-SUM(AG$191:AG288),0)*$A289</f>
        <v>0</v>
      </c>
      <c r="AH289" s="227">
        <f>AG289*$AS289</f>
        <v>0</v>
      </c>
      <c r="AI289" s="210">
        <f t="shared" si="123"/>
        <v>0</v>
      </c>
      <c r="AJ289" s="210">
        <f t="shared" si="124"/>
        <v>0</v>
      </c>
      <c r="AK289" s="210">
        <f t="shared" si="125"/>
        <v>0</v>
      </c>
      <c r="AL289" s="210">
        <f t="shared" si="126"/>
        <v>0</v>
      </c>
      <c r="AM289" s="210">
        <f t="shared" si="127"/>
        <v>0.05</v>
      </c>
      <c r="AN289" s="227">
        <f>ROUNDDOWN(SUM(AM$191:AM289)-SUM(AN$191:AN288),0)*$A289</f>
        <v>0</v>
      </c>
      <c r="AO289" s="227">
        <f>AN289*$AS289</f>
        <v>0</v>
      </c>
      <c r="AP289" s="210">
        <f t="shared" si="140"/>
        <v>0.14079362654170063</v>
      </c>
      <c r="AQ289" s="210">
        <f t="shared" si="141"/>
        <v>0.14079362654170063</v>
      </c>
      <c r="AR289" s="210">
        <f t="shared" si="142"/>
        <v>0.14079362654170063</v>
      </c>
      <c r="AS289" s="210">
        <f t="shared" si="143"/>
        <v>0.14079362654170063</v>
      </c>
      <c r="AT289" s="210">
        <f t="shared" si="144"/>
        <v>0.14079362654170063</v>
      </c>
      <c r="AU289" s="227">
        <f t="shared" si="129"/>
        <v>7.1025942335807173</v>
      </c>
      <c r="AV289" s="227">
        <f t="shared" si="135"/>
        <v>1</v>
      </c>
      <c r="AW289" s="227">
        <f t="shared" si="136"/>
        <v>1</v>
      </c>
      <c r="AX289" s="227">
        <f t="shared" si="137"/>
        <v>1</v>
      </c>
      <c r="AY289" s="227">
        <f t="shared" si="138"/>
        <v>1</v>
      </c>
      <c r="AZ289" s="227">
        <f t="shared" si="139"/>
        <v>1</v>
      </c>
      <c r="BB289" s="227"/>
      <c r="BC289" s="227"/>
      <c r="BD289" s="227"/>
      <c r="BE289" s="227"/>
      <c r="BF289" s="227"/>
      <c r="BG289" s="227"/>
      <c r="BH289" s="227"/>
      <c r="BI289" s="227"/>
      <c r="BJ289" s="227"/>
      <c r="BK289" s="227"/>
    </row>
    <row r="290" spans="1:76" x14ac:dyDescent="0.3">
      <c r="A290" s="210">
        <f t="shared" si="130"/>
        <v>0</v>
      </c>
      <c r="B290" s="210">
        <f t="shared" si="131"/>
        <v>0</v>
      </c>
      <c r="C290" s="210">
        <f t="shared" si="114"/>
        <v>0</v>
      </c>
      <c r="D290" s="210">
        <f t="shared" si="132"/>
        <v>0</v>
      </c>
      <c r="E290" s="210">
        <f t="shared" si="115"/>
        <v>0</v>
      </c>
      <c r="F290" s="297">
        <v>100</v>
      </c>
      <c r="G290" s="210">
        <f t="shared" si="133"/>
        <v>101</v>
      </c>
      <c r="I290" s="210">
        <v>25</v>
      </c>
      <c r="J290" s="295"/>
      <c r="K290" s="295">
        <f t="shared" si="134"/>
        <v>0</v>
      </c>
      <c r="L290" s="295"/>
      <c r="M290" s="295"/>
      <c r="N290" s="295"/>
      <c r="O290" s="295"/>
      <c r="P290" s="295"/>
      <c r="Q290" s="295"/>
      <c r="R290" s="295"/>
      <c r="S290" s="295"/>
      <c r="T290" s="295">
        <f t="shared" si="116"/>
        <v>0</v>
      </c>
      <c r="U290" s="295"/>
      <c r="V290" s="295"/>
      <c r="W290" s="295"/>
      <c r="X290" s="295"/>
      <c r="Y290" s="295"/>
      <c r="Z290" s="295"/>
      <c r="AA290" s="295"/>
      <c r="AB290" s="210">
        <f t="shared" si="117"/>
        <v>0</v>
      </c>
      <c r="AC290" s="210">
        <f t="shared" si="118"/>
        <v>0</v>
      </c>
      <c r="AD290" s="210">
        <f t="shared" si="119"/>
        <v>0</v>
      </c>
      <c r="AE290" s="210">
        <f t="shared" si="120"/>
        <v>0</v>
      </c>
      <c r="AF290" s="227">
        <f t="shared" si="121"/>
        <v>0.05</v>
      </c>
      <c r="AG290" s="227">
        <f>ROUNDDOWN(SUM(AF$191:AF290)-SUM(AG$191:AG289),0)*$A290</f>
        <v>0</v>
      </c>
      <c r="AH290" s="227">
        <f>AG290*$AS290</f>
        <v>0</v>
      </c>
      <c r="AI290" s="210">
        <f t="shared" si="123"/>
        <v>0</v>
      </c>
      <c r="AJ290" s="210">
        <f t="shared" si="124"/>
        <v>0</v>
      </c>
      <c r="AK290" s="210">
        <f t="shared" si="125"/>
        <v>0</v>
      </c>
      <c r="AL290" s="210">
        <f t="shared" si="126"/>
        <v>0</v>
      </c>
      <c r="AM290" s="210">
        <f t="shared" si="127"/>
        <v>0.05</v>
      </c>
      <c r="AN290" s="227">
        <f>ROUNDDOWN(SUM(AM$191:AM290)-SUM(AN$191:AN289),0)*$A290</f>
        <v>0</v>
      </c>
      <c r="AO290" s="227">
        <f>AN290*$AS290</f>
        <v>0</v>
      </c>
      <c r="AP290" s="210">
        <f t="shared" si="140"/>
        <v>0.13803296719774574</v>
      </c>
      <c r="AQ290" s="210">
        <f t="shared" si="141"/>
        <v>0.13803296719774574</v>
      </c>
      <c r="AR290" s="210">
        <f t="shared" si="142"/>
        <v>0.13803296719774574</v>
      </c>
      <c r="AS290" s="210">
        <f t="shared" si="143"/>
        <v>0.13803296719774574</v>
      </c>
      <c r="AT290" s="210">
        <f t="shared" si="144"/>
        <v>0.13803296719774574</v>
      </c>
      <c r="AU290" s="227">
        <f t="shared" si="129"/>
        <v>7.244646118252331</v>
      </c>
      <c r="AV290" s="227">
        <f t="shared" si="135"/>
        <v>1</v>
      </c>
      <c r="AW290" s="227">
        <f t="shared" si="136"/>
        <v>1</v>
      </c>
      <c r="AX290" s="227">
        <f t="shared" si="137"/>
        <v>1</v>
      </c>
      <c r="AY290" s="227">
        <f t="shared" si="138"/>
        <v>1</v>
      </c>
      <c r="AZ290" s="227">
        <f t="shared" si="139"/>
        <v>1</v>
      </c>
      <c r="BB290" s="227"/>
      <c r="BC290" s="227"/>
      <c r="BD290" s="227"/>
      <c r="BE290" s="227"/>
      <c r="BF290" s="227"/>
      <c r="BG290" s="227"/>
      <c r="BH290" s="227"/>
      <c r="BI290" s="227"/>
      <c r="BJ290" s="227"/>
      <c r="BK290" s="227"/>
    </row>
    <row r="291" spans="1:76" x14ac:dyDescent="0.3">
      <c r="A291" s="210">
        <f t="shared" si="130"/>
        <v>0</v>
      </c>
      <c r="B291" s="210">
        <f t="shared" si="131"/>
        <v>0</v>
      </c>
      <c r="C291" s="210">
        <f t="shared" si="114"/>
        <v>0</v>
      </c>
      <c r="D291" s="210">
        <f t="shared" si="132"/>
        <v>0</v>
      </c>
      <c r="E291" s="210">
        <f t="shared" si="115"/>
        <v>0</v>
      </c>
      <c r="F291" s="210">
        <v>101</v>
      </c>
      <c r="G291" s="210">
        <f t="shared" si="133"/>
        <v>102</v>
      </c>
      <c r="I291" s="210">
        <v>25</v>
      </c>
      <c r="J291" s="295"/>
      <c r="K291" s="295">
        <f t="shared" si="134"/>
        <v>0</v>
      </c>
      <c r="L291" s="295"/>
      <c r="M291" s="295"/>
      <c r="N291" s="295"/>
      <c r="O291" s="295"/>
      <c r="P291" s="295"/>
      <c r="Q291" s="295"/>
      <c r="R291" s="295"/>
      <c r="S291" s="295"/>
      <c r="T291" s="295">
        <f t="shared" si="116"/>
        <v>0</v>
      </c>
      <c r="U291" s="295"/>
      <c r="V291" s="295"/>
      <c r="W291" s="295"/>
      <c r="X291" s="295"/>
      <c r="Y291" s="295"/>
      <c r="Z291" s="295"/>
      <c r="AA291" s="295"/>
      <c r="AB291" s="210">
        <f t="shared" si="117"/>
        <v>0</v>
      </c>
      <c r="AC291" s="210">
        <f t="shared" si="118"/>
        <v>0</v>
      </c>
      <c r="AD291" s="210">
        <f t="shared" si="119"/>
        <v>0</v>
      </c>
      <c r="AE291" s="210">
        <f t="shared" si="120"/>
        <v>0</v>
      </c>
      <c r="AF291" s="227">
        <f t="shared" si="121"/>
        <v>0.05</v>
      </c>
      <c r="AG291" s="227">
        <f>ROUNDDOWN(SUM(AF$191:AF291)-SUM(AG$191:AG290),0)*$A291</f>
        <v>0</v>
      </c>
      <c r="AH291" s="227">
        <f>AG291*$AS291</f>
        <v>0</v>
      </c>
      <c r="AI291" s="210">
        <f t="shared" si="123"/>
        <v>0</v>
      </c>
      <c r="AJ291" s="210">
        <f t="shared" si="124"/>
        <v>0</v>
      </c>
      <c r="AK291" s="210">
        <f t="shared" si="125"/>
        <v>0</v>
      </c>
      <c r="AL291" s="210">
        <f t="shared" si="126"/>
        <v>0</v>
      </c>
      <c r="AM291" s="210">
        <f t="shared" si="127"/>
        <v>0.05</v>
      </c>
      <c r="AN291" s="227">
        <f>ROUNDDOWN(SUM(AM$191:AM291)-SUM(AN$191:AN290),0)*$A291</f>
        <v>0</v>
      </c>
      <c r="AO291" s="227">
        <f>AN291*$AS291</f>
        <v>0</v>
      </c>
      <c r="AP291" s="210">
        <f t="shared" si="140"/>
        <v>0.13532643842916248</v>
      </c>
      <c r="AQ291" s="210">
        <f t="shared" si="141"/>
        <v>0.13532643842916248</v>
      </c>
      <c r="AR291" s="210">
        <f t="shared" si="142"/>
        <v>0.13532643842916248</v>
      </c>
      <c r="AS291" s="210">
        <f t="shared" si="143"/>
        <v>0.13532643842916248</v>
      </c>
      <c r="AT291" s="210">
        <f t="shared" si="144"/>
        <v>0.13532643842916248</v>
      </c>
      <c r="AU291" s="227">
        <f t="shared" si="129"/>
        <v>7.3895390406173789</v>
      </c>
      <c r="AV291" s="227">
        <f t="shared" si="135"/>
        <v>1</v>
      </c>
      <c r="AW291" s="227">
        <f t="shared" si="136"/>
        <v>1</v>
      </c>
      <c r="AX291" s="227">
        <f t="shared" si="137"/>
        <v>1</v>
      </c>
      <c r="AY291" s="227">
        <f t="shared" si="138"/>
        <v>1</v>
      </c>
      <c r="AZ291" s="227">
        <f t="shared" si="139"/>
        <v>1</v>
      </c>
      <c r="BB291" s="227"/>
      <c r="BC291" s="227"/>
      <c r="BD291" s="227"/>
      <c r="BE291" s="227"/>
      <c r="BF291" s="227"/>
      <c r="BG291" s="227"/>
      <c r="BH291" s="227"/>
      <c r="BI291" s="227"/>
      <c r="BJ291" s="227"/>
      <c r="BK291" s="227"/>
    </row>
    <row r="292" spans="1:76" x14ac:dyDescent="0.3">
      <c r="G292" s="210">
        <f t="shared" si="133"/>
        <v>103</v>
      </c>
      <c r="AU292" s="227">
        <f>(1+$L$6)^$F291</f>
        <v>7.3895390406173789</v>
      </c>
      <c r="AV292" s="227">
        <f t="shared" si="135"/>
        <v>1</v>
      </c>
      <c r="AW292" s="227">
        <f t="shared" si="136"/>
        <v>1</v>
      </c>
      <c r="AX292" s="227">
        <f t="shared" si="137"/>
        <v>1</v>
      </c>
      <c r="AY292" s="227">
        <f t="shared" si="138"/>
        <v>1</v>
      </c>
      <c r="AZ292" s="227">
        <f t="shared" si="139"/>
        <v>1</v>
      </c>
      <c r="BB292" s="227"/>
      <c r="BC292" s="227"/>
      <c r="BD292" s="227"/>
      <c r="BE292" s="227"/>
      <c r="BF292" s="227"/>
      <c r="BG292" s="227"/>
      <c r="BH292" s="227"/>
      <c r="BI292" s="227"/>
      <c r="BJ292" s="227"/>
      <c r="BK292" s="227"/>
    </row>
    <row r="293" spans="1:76" x14ac:dyDescent="0.3">
      <c r="BH293" s="227"/>
      <c r="BI293" s="227"/>
      <c r="BJ293" s="227"/>
      <c r="BK293" s="227"/>
      <c r="BL293" s="227"/>
      <c r="BM293" s="227"/>
      <c r="BO293" s="227"/>
      <c r="BP293" s="227"/>
      <c r="BQ293" s="227"/>
      <c r="BR293" s="227"/>
      <c r="BS293" s="227"/>
      <c r="BT293" s="227"/>
      <c r="BU293" s="227"/>
      <c r="BV293" s="227"/>
      <c r="BW293" s="227"/>
      <c r="BX293" s="227"/>
    </row>
    <row r="294" spans="1:76" x14ac:dyDescent="0.3">
      <c r="D294" s="289"/>
    </row>
    <row r="301" spans="1:76" x14ac:dyDescent="0.3">
      <c r="B301" s="268"/>
    </row>
    <row r="303" spans="1:76" x14ac:dyDescent="0.3">
      <c r="B303" s="268"/>
    </row>
    <row r="304" spans="1:76" x14ac:dyDescent="0.3">
      <c r="B304" s="268"/>
    </row>
    <row r="305" spans="2:2" x14ac:dyDescent="0.3">
      <c r="B305" s="268"/>
    </row>
    <row r="306" spans="2:2" x14ac:dyDescent="0.3">
      <c r="B306" s="268"/>
    </row>
    <row r="307" spans="2:2" x14ac:dyDescent="0.3">
      <c r="B307" s="268"/>
    </row>
  </sheetData>
  <sheetProtection algorithmName="SHA-512" hashValue="rnaXDmGaHOYCs2cmBo0VYrDirV+YUe+0g4qBCVOmwJyKTTYzdtTXu93fXxGCvQE5f6hIJQJb+MBUhm5C5MchyQ==" saltValue="+kjF5lOdFUQZa+LjP+MAoA==" spinCount="100000" sheet="1" autoFilter="0"/>
  <customSheetViews>
    <customSheetView guid="{4315B254-8B6B-4A34-8496-E714720EBF5E}" showPageBreaks="1" zeroValues="0" printArea="1" hiddenRows="1" hiddenColumns="1" topLeftCell="M5">
      <selection activeCell="P6" sqref="P6"/>
      <pageMargins left="0.11811023622047245" right="0.11811023622047245" top="0.11811023622047245" bottom="0.11811023622047245" header="0" footer="0"/>
      <pageSetup paperSize="9" scale="65" orientation="portrait" r:id="rId1"/>
    </customSheetView>
  </customSheetViews>
  <mergeCells count="85">
    <mergeCell ref="T58:U58"/>
    <mergeCell ref="J5:K5"/>
    <mergeCell ref="J26:K26"/>
    <mergeCell ref="J21:K21"/>
    <mergeCell ref="J20:K20"/>
    <mergeCell ref="J18:K18"/>
    <mergeCell ref="J17:K17"/>
    <mergeCell ref="J16:K16"/>
    <mergeCell ref="J14:K15"/>
    <mergeCell ref="J53:K55"/>
    <mergeCell ref="J50:K50"/>
    <mergeCell ref="J47:K49"/>
    <mergeCell ref="J46:K46"/>
    <mergeCell ref="J44:K44"/>
    <mergeCell ref="J37:K37"/>
    <mergeCell ref="J19:K19"/>
    <mergeCell ref="X21:Z21"/>
    <mergeCell ref="X37:Y37"/>
    <mergeCell ref="AI69:AJ70"/>
    <mergeCell ref="L21:M21"/>
    <mergeCell ref="L20:M20"/>
    <mergeCell ref="P21:Q21"/>
    <mergeCell ref="P44:Q44"/>
    <mergeCell ref="N46:O46"/>
    <mergeCell ref="L67:L68"/>
    <mergeCell ref="O67:O69"/>
    <mergeCell ref="L52:M52"/>
    <mergeCell ref="L46:M46"/>
    <mergeCell ref="L44:M44"/>
    <mergeCell ref="L37:M37"/>
    <mergeCell ref="L26:M26"/>
    <mergeCell ref="N37:O37"/>
    <mergeCell ref="Z5:AA5"/>
    <mergeCell ref="L17:M17"/>
    <mergeCell ref="L15:M15"/>
    <mergeCell ref="N20:O20"/>
    <mergeCell ref="N15:O15"/>
    <mergeCell ref="N18:O18"/>
    <mergeCell ref="L18:M18"/>
    <mergeCell ref="X20:Z20"/>
    <mergeCell ref="V5:W5"/>
    <mergeCell ref="N14:O14"/>
    <mergeCell ref="L14:M14"/>
    <mergeCell ref="B189:C189"/>
    <mergeCell ref="N52:O52"/>
    <mergeCell ref="L63:Q63"/>
    <mergeCell ref="P67:P69"/>
    <mergeCell ref="N67:N69"/>
    <mergeCell ref="L64:Q64"/>
    <mergeCell ref="D189:E189"/>
    <mergeCell ref="J58:K58"/>
    <mergeCell ref="J67:J68"/>
    <mergeCell ref="J66:K66"/>
    <mergeCell ref="F64:H64"/>
    <mergeCell ref="F65:H65"/>
    <mergeCell ref="F61:H61"/>
    <mergeCell ref="F62:H62"/>
    <mergeCell ref="F63:H63"/>
    <mergeCell ref="N59:O59"/>
    <mergeCell ref="J22:K24"/>
    <mergeCell ref="L51:M51"/>
    <mergeCell ref="N51:O51"/>
    <mergeCell ref="N58:O58"/>
    <mergeCell ref="J52:K52"/>
    <mergeCell ref="J51:K51"/>
    <mergeCell ref="J25:K25"/>
    <mergeCell ref="J38:K40"/>
    <mergeCell ref="J41:K43"/>
    <mergeCell ref="J27:K29"/>
    <mergeCell ref="J31:K33"/>
    <mergeCell ref="J34:K36"/>
    <mergeCell ref="J30:K30"/>
    <mergeCell ref="J45:K45"/>
    <mergeCell ref="J63:K63"/>
    <mergeCell ref="M67:M68"/>
    <mergeCell ref="L59:M59"/>
    <mergeCell ref="V188:X188"/>
    <mergeCell ref="K187:R187"/>
    <mergeCell ref="K67:K68"/>
    <mergeCell ref="J62:K62"/>
    <mergeCell ref="J65:K65"/>
    <mergeCell ref="J61:K61"/>
    <mergeCell ref="J60:K60"/>
    <mergeCell ref="J59:K59"/>
    <mergeCell ref="J64:K64"/>
  </mergeCells>
  <phoneticPr fontId="26" type="noConversion"/>
  <dataValidations count="8">
    <dataValidation allowBlank="1" showErrorMessage="1" sqref="M22:M24 Q22:Q24 Q27:Q29" xr:uid="{00000000-0002-0000-0200-000000000000}"/>
    <dataValidation type="list" showInputMessage="1" showErrorMessage="1" promptTitle="Select personell" prompt="Select the personell that you have defined in &quot;Economic Data&quot; at the Top of this Sheet_x000a__x000a_RED means that the entered personell was not added in &quot;Economic Data&quot; first. In this case just reselect the personell here" sqref="AH37:AH38 AH24:AH25 AH42:AH43" xr:uid="{00000000-0002-0000-0200-000001000000}">
      <formula1>Personal_array</formula1>
    </dataValidation>
    <dataValidation type="decimal" allowBlank="1" showInputMessage="1" showErrorMessage="1" errorTitle="nur Zahlen eintragen" error="Bitte in diesem Feld nur Zahlen eintragen, keinen Text" prompt="Assumed yearly change of energy prices" sqref="AN78:AN80" xr:uid="{00000000-0002-0000-0200-000002000000}">
      <formula1>-1000000</formula1>
      <formula2>1000000000</formula2>
    </dataValidation>
    <dataValidation errorStyle="warning" operator="greaterThan" allowBlank="1" showInputMessage="1" error="In diesem Feld gehört einer texteingabe" sqref="AL53:AL55" xr:uid="{00000000-0002-0000-0200-000003000000}"/>
    <dataValidation type="decimal" showInputMessage="1" showErrorMessage="1" errorTitle="Ungültige Eingabe" error="In dieses Feld gehört eine Zahl" sqref="AM53:AM55" xr:uid="{00000000-0002-0000-0200-000004000000}">
      <formula1>-1000000000000000</formula1>
      <formula2>10000000000000000</formula2>
    </dataValidation>
    <dataValidation showInputMessage="1" showErrorMessage="1" promptTitle="Select Energy Source" prompt="Select an Energy Source you have added in &quot;Economic Data&quot; at the Top of this Sheet_x000a__x000a_RED means that the entered Energy Source was not added in &quot;Economic Data&quot; first. In this case just reselect the Energy Source here" sqref="AH27:AH30" xr:uid="{00000000-0002-0000-0200-000005000000}"/>
    <dataValidation type="list" allowBlank="1" showInputMessage="1" showErrorMessage="1" sqref="X37" xr:uid="{00000000-0002-0000-0200-000006000000}">
      <formula1>$M$41:$M$42</formula1>
    </dataValidation>
    <dataValidation type="list" showInputMessage="1" showErrorMessage="1" sqref="J3" xr:uid="{00000000-0002-0000-0200-000007000000}">
      <formula1>Art_Auswertung</formula1>
    </dataValidation>
  </dataValidations>
  <pageMargins left="0.11811023622047245" right="0.11811023622047245" top="0.11811023622047245" bottom="0.11811023622047245" header="0" footer="0"/>
  <pageSetup paperSize="9" scale="65"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8">
    <tabColor rgb="FFFFC000"/>
  </sheetPr>
  <dimension ref="A2:H34"/>
  <sheetViews>
    <sheetView workbookViewId="0">
      <selection activeCell="J12" sqref="J12"/>
    </sheetView>
  </sheetViews>
  <sheetFormatPr baseColWidth="10" defaultColWidth="11.453125" defaultRowHeight="14.5" x14ac:dyDescent="0.35"/>
  <cols>
    <col min="1" max="1" width="11.453125" style="332" customWidth="1"/>
    <col min="2" max="2" width="13.453125" style="332" customWidth="1"/>
    <col min="3" max="16384" width="11.453125" style="332"/>
  </cols>
  <sheetData>
    <row r="2" spans="1:8" ht="18.5" x14ac:dyDescent="0.45">
      <c r="D2" s="333"/>
      <c r="F2" s="333"/>
    </row>
    <row r="6" spans="1:8" hidden="1" x14ac:dyDescent="0.35"/>
    <row r="7" spans="1:8" x14ac:dyDescent="0.35">
      <c r="A7" s="334" t="str">
        <f>IF(Entries!$B$15='Translations (internal)'!$E$3,'Translations (internal)'!E70,IF(Entries!$B$15='Translations (internal)'!$F$3,'Translations (internal)'!F70,IF(Entries!$B$15='Translations (internal)'!$G$3,'Translations (internal)'!G70,IF(Entries!$B$15='Translations (internal)'!$H$3,'Translations (internal)'!H70,IF(Entries!$B$15='Translations (internal)'!$I$3,'Translations (internal)'!I70,'Translations (internal)'!E70)))))</f>
        <v>Author</v>
      </c>
      <c r="B7" s="332" t="s">
        <v>164</v>
      </c>
    </row>
    <row r="8" spans="1:8" x14ac:dyDescent="0.35">
      <c r="A8" s="334" t="str">
        <f>IF(Entries!$B$15='Translations (internal)'!$E$3,'Translations (internal)'!E71,IF(Entries!$B$15='Translations (internal)'!$F$3,'Translations (internal)'!F71,IF(Entries!$B$15='Translations (internal)'!$G$3,'Translations (internal)'!G71,IF(Entries!$B$15='Translations (internal)'!$H$3,'Translations (internal)'!H71,IF(Entries!$B$15='Translations (internal)'!$I$3,'Translations (internal)'!I71,'Translations (internal)'!E71)))))</f>
        <v>E-Mail</v>
      </c>
      <c r="B8" s="335" t="s">
        <v>165</v>
      </c>
    </row>
    <row r="10" spans="1:8" ht="15.5" x14ac:dyDescent="0.35">
      <c r="A10" s="336" t="str">
        <f>IF(Entries!$B$15='Translations (internal)'!$E$3,'Translations (internal)'!E66,IF(Entries!$B$15='Translations (internal)'!$F$3,'Translations (internal)'!F66,IF(Entries!$B$15='Translations (internal)'!$G$3,'Translations (internal)'!G66,IF(Entries!$B$15='Translations (internal)'!$H$3,'Translations (internal)'!H66,IF(Entries!$B$15='Translations (internal)'!$I$3,'Translations (internal)'!I66,'Translations (internal)'!E66)))))</f>
        <v>Disclaimer</v>
      </c>
    </row>
    <row r="11" spans="1:8" ht="12.75" customHeight="1" x14ac:dyDescent="0.35">
      <c r="A11" s="497" t="str">
        <f>IF(Entries!$B$15='Translations (internal)'!$E$3,'Translations (internal)'!E67,IF(Entries!$B$15='Translations (internal)'!$F$3,'Translations (internal)'!F67,IF(Entries!$B$15='Translations (internal)'!$G$3,'Translations (internal)'!G67,IF(Entries!$B$15='Translations (internal)'!$H$3,'Translations (internal)'!H67,IF(Entries!$B$15='Translations (internal)'!$I$3,'Translations (internal)'!I67,'Translations (internal)'!E67)))))</f>
        <v>The use of this software is intended exclusively for training purposes within the framework of the INDUCE project.
No liability is assumed for the results/calculations, unless ÖKOTEC has acted with intent or gross negligence in providing the results.</v>
      </c>
      <c r="B11" s="498"/>
      <c r="C11" s="498"/>
      <c r="D11" s="498"/>
      <c r="E11" s="498"/>
      <c r="F11" s="498"/>
      <c r="G11" s="498"/>
      <c r="H11" s="498"/>
    </row>
    <row r="12" spans="1:8" ht="12.75" customHeight="1" x14ac:dyDescent="0.35">
      <c r="A12" s="498"/>
      <c r="B12" s="498"/>
      <c r="C12" s="498"/>
      <c r="D12" s="498"/>
      <c r="E12" s="498"/>
      <c r="F12" s="498"/>
      <c r="G12" s="498"/>
      <c r="H12" s="498"/>
    </row>
    <row r="13" spans="1:8" ht="12.75" customHeight="1" x14ac:dyDescent="0.35">
      <c r="A13" s="498"/>
      <c r="B13" s="498"/>
      <c r="C13" s="498"/>
      <c r="D13" s="498"/>
      <c r="E13" s="498"/>
      <c r="F13" s="498"/>
      <c r="G13" s="498"/>
      <c r="H13" s="498"/>
    </row>
    <row r="14" spans="1:8" ht="12.75" customHeight="1" x14ac:dyDescent="0.35">
      <c r="A14" s="498"/>
      <c r="B14" s="498"/>
      <c r="C14" s="498"/>
      <c r="D14" s="498"/>
      <c r="E14" s="498"/>
      <c r="F14" s="498"/>
      <c r="G14" s="498"/>
      <c r="H14" s="498"/>
    </row>
    <row r="15" spans="1:8" ht="12.75" customHeight="1" x14ac:dyDescent="0.35">
      <c r="A15" s="498"/>
      <c r="B15" s="498"/>
      <c r="C15" s="498"/>
      <c r="D15" s="498"/>
      <c r="E15" s="498"/>
      <c r="F15" s="498"/>
      <c r="G15" s="498"/>
      <c r="H15" s="498"/>
    </row>
    <row r="16" spans="1:8" ht="12.75" customHeight="1" x14ac:dyDescent="0.35">
      <c r="A16" s="498"/>
      <c r="B16" s="498"/>
      <c r="C16" s="498"/>
      <c r="D16" s="498"/>
      <c r="E16" s="498"/>
      <c r="F16" s="498"/>
      <c r="G16" s="498"/>
      <c r="H16" s="498"/>
    </row>
    <row r="17" spans="1:8" ht="12.75" customHeight="1" x14ac:dyDescent="0.35">
      <c r="A17" s="498"/>
      <c r="B17" s="498"/>
      <c r="C17" s="498"/>
      <c r="D17" s="498"/>
      <c r="E17" s="498"/>
      <c r="F17" s="498"/>
      <c r="G17" s="498"/>
      <c r="H17" s="498"/>
    </row>
    <row r="18" spans="1:8" ht="12.75" customHeight="1" x14ac:dyDescent="0.35">
      <c r="A18" s="498"/>
      <c r="B18" s="498"/>
      <c r="C18" s="498"/>
      <c r="D18" s="498"/>
      <c r="E18" s="498"/>
      <c r="F18" s="498"/>
      <c r="G18" s="498"/>
      <c r="H18" s="498"/>
    </row>
    <row r="19" spans="1:8" ht="12.75" customHeight="1" x14ac:dyDescent="0.35">
      <c r="A19" s="498"/>
      <c r="B19" s="498"/>
      <c r="C19" s="498"/>
      <c r="D19" s="498"/>
      <c r="E19" s="498"/>
      <c r="F19" s="498"/>
      <c r="G19" s="498"/>
      <c r="H19" s="498"/>
    </row>
    <row r="20" spans="1:8" ht="12.75" customHeight="1" x14ac:dyDescent="0.35">
      <c r="A20" s="498"/>
      <c r="B20" s="498"/>
      <c r="C20" s="498"/>
      <c r="D20" s="498"/>
      <c r="E20" s="498"/>
      <c r="F20" s="498"/>
      <c r="G20" s="498"/>
      <c r="H20" s="498"/>
    </row>
    <row r="21" spans="1:8" ht="12.75" customHeight="1" x14ac:dyDescent="0.35">
      <c r="A21" s="498"/>
      <c r="B21" s="498"/>
      <c r="C21" s="498"/>
      <c r="D21" s="498"/>
      <c r="E21" s="498"/>
      <c r="F21" s="498"/>
      <c r="G21" s="498"/>
      <c r="H21" s="498"/>
    </row>
    <row r="23" spans="1:8" ht="15.5" x14ac:dyDescent="0.35">
      <c r="A23" s="336" t="str">
        <f>IF(Entries!$B$15='Translations (internal)'!$E$3,'Translations (internal)'!E68,IF(Entries!$B$15='Translations (internal)'!$F$3,'Translations (internal)'!F68,IF(Entries!$B$15='Translations (internal)'!$G$3,'Translations (internal)'!G68,IF(Entries!$B$15='Translations (internal)'!$H$3,'Translations (internal)'!H68,IF(Entries!$B$15='Translations (internal)'!$I$3,'Translations (internal)'!I68,'Translations (internal)'!E68)))))</f>
        <v>Copyright and rights of use</v>
      </c>
    </row>
    <row r="24" spans="1:8" ht="15" customHeight="1" x14ac:dyDescent="0.35">
      <c r="A24" s="497" t="str">
        <f>IF(Entries!$B$15='Translations (internal)'!$E$3,'Translations (internal)'!E69,IF(Entries!$B$15='Translations (internal)'!$F$3,'Translations (internal)'!F69,IF(Entries!$B$15='Translations (internal)'!$G$3,'Translations (internal)'!G69,IF(Entries!$B$15='Translations (internal)'!$H$3,'Translations (internal)'!H69,IF(Entries!$B$15='Translations (internal)'!$I$3,'Translations (internal)'!I69,'Translations (internal)'!E69)))))</f>
        <v>All copyrights for this software are held by ÖKOTEC Energiemanagement GmbH, Torgauer Straße 12-15, 10829 Berlin, Germany, which developed this software as part of the INDUCE project. The participants of trainings in which this tool is used are allowed to continue using this software within their own company. The use for consulting of third parties is not permitted. Changes to the tool may not be made without the express prior consent of ÖKOTEC Energiemanagement GmbH. The transfer of this software to third parties outside the INDUCE project is not permitted without the express prior consent of ÖKOTEC Energiemanagement GmbH.</v>
      </c>
      <c r="B24" s="498"/>
      <c r="C24" s="498"/>
      <c r="D24" s="498"/>
      <c r="E24" s="498"/>
      <c r="F24" s="498"/>
      <c r="G24" s="498"/>
      <c r="H24" s="498"/>
    </row>
    <row r="25" spans="1:8" x14ac:dyDescent="0.35">
      <c r="A25" s="498"/>
      <c r="B25" s="498"/>
      <c r="C25" s="498"/>
      <c r="D25" s="498"/>
      <c r="E25" s="498"/>
      <c r="F25" s="498"/>
      <c r="G25" s="498"/>
      <c r="H25" s="498"/>
    </row>
    <row r="26" spans="1:8" x14ac:dyDescent="0.35">
      <c r="A26" s="498"/>
      <c r="B26" s="498"/>
      <c r="C26" s="498"/>
      <c r="D26" s="498"/>
      <c r="E26" s="498"/>
      <c r="F26" s="498"/>
      <c r="G26" s="498"/>
      <c r="H26" s="498"/>
    </row>
    <row r="27" spans="1:8" x14ac:dyDescent="0.35">
      <c r="A27" s="498"/>
      <c r="B27" s="498"/>
      <c r="C27" s="498"/>
      <c r="D27" s="498"/>
      <c r="E27" s="498"/>
      <c r="F27" s="498"/>
      <c r="G27" s="498"/>
      <c r="H27" s="498"/>
    </row>
    <row r="28" spans="1:8" x14ac:dyDescent="0.35">
      <c r="A28" s="498"/>
      <c r="B28" s="498"/>
      <c r="C28" s="498"/>
      <c r="D28" s="498"/>
      <c r="E28" s="498"/>
      <c r="F28" s="498"/>
      <c r="G28" s="498"/>
      <c r="H28" s="498"/>
    </row>
    <row r="29" spans="1:8" x14ac:dyDescent="0.35">
      <c r="A29" s="498"/>
      <c r="B29" s="498"/>
      <c r="C29" s="498"/>
      <c r="D29" s="498"/>
      <c r="E29" s="498"/>
      <c r="F29" s="498"/>
      <c r="G29" s="498"/>
      <c r="H29" s="498"/>
    </row>
    <row r="30" spans="1:8" x14ac:dyDescent="0.35">
      <c r="A30" s="498"/>
      <c r="B30" s="498"/>
      <c r="C30" s="498"/>
      <c r="D30" s="498"/>
      <c r="E30" s="498"/>
      <c r="F30" s="498"/>
      <c r="G30" s="498"/>
      <c r="H30" s="498"/>
    </row>
    <row r="31" spans="1:8" x14ac:dyDescent="0.35">
      <c r="A31" s="498"/>
      <c r="B31" s="498"/>
      <c r="C31" s="498"/>
      <c r="D31" s="498"/>
      <c r="E31" s="498"/>
      <c r="F31" s="498"/>
      <c r="G31" s="498"/>
      <c r="H31" s="498"/>
    </row>
    <row r="32" spans="1:8" x14ac:dyDescent="0.35">
      <c r="A32" s="498"/>
      <c r="B32" s="498"/>
      <c r="C32" s="498"/>
      <c r="D32" s="498"/>
      <c r="E32" s="498"/>
      <c r="F32" s="498"/>
      <c r="G32" s="498"/>
      <c r="H32" s="498"/>
    </row>
    <row r="33" spans="1:8" x14ac:dyDescent="0.35">
      <c r="A33" s="498"/>
      <c r="B33" s="498"/>
      <c r="C33" s="498"/>
      <c r="D33" s="498"/>
      <c r="E33" s="498"/>
      <c r="F33" s="498"/>
      <c r="G33" s="498"/>
      <c r="H33" s="498"/>
    </row>
    <row r="34" spans="1:8" x14ac:dyDescent="0.35">
      <c r="A34" s="498"/>
      <c r="B34" s="498"/>
      <c r="C34" s="498"/>
      <c r="D34" s="498"/>
      <c r="E34" s="498"/>
      <c r="F34" s="498"/>
      <c r="G34" s="498"/>
      <c r="H34" s="498"/>
    </row>
  </sheetData>
  <sheetProtection algorithmName="SHA-512" hashValue="I4uZJ8uCekxmJd3dc78o36xB7AqxK/fb2uy+w2bz7+UL+Um/dsnBTuMfRqfBzlE4SYRwKS01Dz6kcYmaqIp7WA==" saltValue="wT1avFm7tM2L+YSRFXEokA==" spinCount="100000" sheet="1" objects="1" scenarios="1"/>
  <mergeCells count="2">
    <mergeCell ref="A11:H21"/>
    <mergeCell ref="A24:H34"/>
  </mergeCells>
  <hyperlinks>
    <hyperlink ref="B8" r:id="rId1" xr:uid="{00000000-0004-0000-0300-000000000000}"/>
  </hyperlinks>
  <pageMargins left="0.7" right="0.7" top="0.78740157499999996" bottom="0.78740157499999996"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I71"/>
  <sheetViews>
    <sheetView tabSelected="1" topLeftCell="A64" workbookViewId="0">
      <selection activeCell="F4" sqref="F4:F71"/>
    </sheetView>
  </sheetViews>
  <sheetFormatPr baseColWidth="10" defaultColWidth="11.453125" defaultRowHeight="14.5" x14ac:dyDescent="0.35"/>
  <cols>
    <col min="1" max="1" width="4.7265625" style="187" customWidth="1"/>
    <col min="2" max="2" width="4.26953125" style="187" customWidth="1"/>
    <col min="3" max="3" width="30.453125" style="187" hidden="1" customWidth="1"/>
    <col min="4" max="4" width="4.26953125" style="304" hidden="1" customWidth="1"/>
    <col min="5" max="5" width="71.7265625" style="187" customWidth="1"/>
    <col min="6" max="6" width="40" style="187" customWidth="1"/>
    <col min="7" max="7" width="26.7265625" style="187" customWidth="1"/>
    <col min="8" max="8" width="52.54296875" style="187" customWidth="1"/>
    <col min="9" max="9" width="24.26953125" style="187" customWidth="1"/>
    <col min="10" max="10" width="27.1796875" style="187" customWidth="1"/>
    <col min="11" max="11" width="8.7265625" style="187" customWidth="1"/>
    <col min="12" max="16384" width="11.453125" style="187"/>
  </cols>
  <sheetData>
    <row r="1" spans="1:9" ht="23.5" x14ac:dyDescent="0.55000000000000004">
      <c r="E1" s="305" t="s">
        <v>161</v>
      </c>
    </row>
    <row r="2" spans="1:9" x14ac:dyDescent="0.35">
      <c r="B2" s="306"/>
    </row>
    <row r="3" spans="1:9" ht="21.5" thickBot="1" x14ac:dyDescent="0.55000000000000004">
      <c r="A3" s="307"/>
      <c r="B3" s="307"/>
      <c r="C3" s="308" t="s">
        <v>135</v>
      </c>
      <c r="D3" s="309"/>
      <c r="E3" s="310" t="s">
        <v>116</v>
      </c>
      <c r="F3" s="310" t="s">
        <v>156</v>
      </c>
      <c r="G3" s="310" t="s">
        <v>157</v>
      </c>
      <c r="H3" s="310" t="s">
        <v>117</v>
      </c>
      <c r="I3" s="310" t="s">
        <v>155</v>
      </c>
    </row>
    <row r="4" spans="1:9" x14ac:dyDescent="0.35">
      <c r="A4" s="311"/>
      <c r="B4" s="312"/>
      <c r="C4" s="313" t="str">
        <f>Entries!C2</f>
        <v>Investment Calculator</v>
      </c>
      <c r="D4" s="314"/>
      <c r="E4" s="315" t="s">
        <v>118</v>
      </c>
      <c r="F4" s="499" t="s">
        <v>357</v>
      </c>
      <c r="G4" s="508" t="s">
        <v>298</v>
      </c>
      <c r="H4" s="326" t="s">
        <v>240</v>
      </c>
      <c r="I4" s="326" t="s">
        <v>181</v>
      </c>
    </row>
    <row r="5" spans="1:9" x14ac:dyDescent="0.35">
      <c r="A5" s="311"/>
      <c r="B5" s="312"/>
      <c r="C5" s="313" t="str">
        <f>Entries!B13</f>
        <v>Select Language</v>
      </c>
      <c r="D5" s="314"/>
      <c r="E5" s="313" t="s">
        <v>126</v>
      </c>
      <c r="F5" s="500" t="s">
        <v>358</v>
      </c>
      <c r="G5" s="509" t="s">
        <v>299</v>
      </c>
      <c r="H5" s="327" t="s">
        <v>241</v>
      </c>
      <c r="I5" s="327" t="s">
        <v>182</v>
      </c>
    </row>
    <row r="6" spans="1:9" x14ac:dyDescent="0.35">
      <c r="A6" s="311"/>
      <c r="B6" s="312"/>
      <c r="C6" s="313" t="str">
        <f>Entries!D13</f>
        <v>Enter Energy tarifs</v>
      </c>
      <c r="D6" s="314"/>
      <c r="E6" s="313" t="s">
        <v>137</v>
      </c>
      <c r="F6" s="500" t="s">
        <v>359</v>
      </c>
      <c r="G6" s="506" t="s">
        <v>300</v>
      </c>
      <c r="H6" s="328" t="s">
        <v>242</v>
      </c>
      <c r="I6" s="328" t="s">
        <v>183</v>
      </c>
    </row>
    <row r="7" spans="1:9" x14ac:dyDescent="0.35">
      <c r="A7" s="311"/>
      <c r="B7" s="312"/>
      <c r="C7" s="313" t="str">
        <f>Entries!D15</f>
        <v>Energy Sources</v>
      </c>
      <c r="D7" s="314"/>
      <c r="E7" s="313" t="s">
        <v>148</v>
      </c>
      <c r="F7" s="500" t="s">
        <v>360</v>
      </c>
      <c r="G7" s="506" t="s">
        <v>301</v>
      </c>
      <c r="H7" s="328" t="s">
        <v>243</v>
      </c>
      <c r="I7" s="328" t="s">
        <v>184</v>
      </c>
    </row>
    <row r="8" spans="1:9" x14ac:dyDescent="0.35">
      <c r="A8" s="311"/>
      <c r="B8" s="312"/>
      <c r="C8" s="313" t="str">
        <f>Entries!E15</f>
        <v>Energy Price (Ct./kWh)</v>
      </c>
      <c r="D8" s="314"/>
      <c r="E8" s="313" t="s">
        <v>149</v>
      </c>
      <c r="F8" s="500" t="s">
        <v>361</v>
      </c>
      <c r="G8" s="506" t="s">
        <v>302</v>
      </c>
      <c r="H8" s="328" t="s">
        <v>244</v>
      </c>
      <c r="I8" s="328" t="s">
        <v>185</v>
      </c>
    </row>
    <row r="9" spans="1:9" ht="29" x14ac:dyDescent="0.35">
      <c r="A9" s="311"/>
      <c r="B9" s="312"/>
      <c r="C9" s="313" t="str">
        <f>Entries!B22</f>
        <v>Enter the Energy Efficiency Measure</v>
      </c>
      <c r="D9" s="314"/>
      <c r="E9" s="313" t="s">
        <v>138</v>
      </c>
      <c r="F9" s="500" t="s">
        <v>362</v>
      </c>
      <c r="G9" s="506" t="s">
        <v>303</v>
      </c>
      <c r="H9" s="328" t="s">
        <v>245</v>
      </c>
      <c r="I9" s="328" t="s">
        <v>186</v>
      </c>
    </row>
    <row r="10" spans="1:9" x14ac:dyDescent="0.35">
      <c r="A10" s="311"/>
      <c r="B10" s="312"/>
      <c r="C10" s="313" t="str">
        <f>Entries!D22</f>
        <v>Reference Situation</v>
      </c>
      <c r="D10" s="314"/>
      <c r="E10" s="313" t="s">
        <v>120</v>
      </c>
      <c r="F10" s="500" t="s">
        <v>363</v>
      </c>
      <c r="G10" s="506" t="s">
        <v>304</v>
      </c>
      <c r="H10" s="328" t="s">
        <v>246</v>
      </c>
      <c r="I10" s="328" t="s">
        <v>187</v>
      </c>
    </row>
    <row r="11" spans="1:9" x14ac:dyDescent="0.35">
      <c r="A11" s="311"/>
      <c r="B11" s="312"/>
      <c r="C11" s="313" t="str">
        <f>Entries!E22</f>
        <v>Target Situation</v>
      </c>
      <c r="D11" s="314"/>
      <c r="E11" s="313" t="s">
        <v>119</v>
      </c>
      <c r="F11" s="500" t="s">
        <v>364</v>
      </c>
      <c r="G11" s="506" t="s">
        <v>305</v>
      </c>
      <c r="H11" s="328" t="s">
        <v>247</v>
      </c>
      <c r="I11" s="328" t="s">
        <v>188</v>
      </c>
    </row>
    <row r="12" spans="1:9" x14ac:dyDescent="0.35">
      <c r="A12" s="307"/>
      <c r="B12" s="307"/>
      <c r="C12" s="313" t="str">
        <f>Entries!B23</f>
        <v>Description</v>
      </c>
      <c r="D12" s="314"/>
      <c r="E12" s="313" t="s">
        <v>150</v>
      </c>
      <c r="F12" s="500" t="s">
        <v>365</v>
      </c>
      <c r="G12" s="506" t="s">
        <v>306</v>
      </c>
      <c r="H12" s="328" t="s">
        <v>248</v>
      </c>
      <c r="I12" s="328" t="s">
        <v>189</v>
      </c>
    </row>
    <row r="13" spans="1:9" x14ac:dyDescent="0.35">
      <c r="A13" s="307"/>
      <c r="B13" s="307"/>
      <c r="C13" s="313" t="str">
        <f>Entries!B24</f>
        <v>Name</v>
      </c>
      <c r="D13" s="314"/>
      <c r="E13" s="313" t="s">
        <v>58</v>
      </c>
      <c r="F13" s="500" t="s">
        <v>366</v>
      </c>
      <c r="G13" s="506" t="s">
        <v>307</v>
      </c>
      <c r="H13" s="328" t="s">
        <v>58</v>
      </c>
      <c r="I13" s="328" t="s">
        <v>190</v>
      </c>
    </row>
    <row r="14" spans="1:9" ht="29" x14ac:dyDescent="0.35">
      <c r="A14" s="307"/>
      <c r="B14" s="307"/>
      <c r="C14" s="313" t="str">
        <f>Entries!B48</f>
        <v>Operating hours / year (h/a)</v>
      </c>
      <c r="D14" s="314"/>
      <c r="E14" s="313" t="s">
        <v>68</v>
      </c>
      <c r="F14" s="500" t="s">
        <v>367</v>
      </c>
      <c r="G14" s="506" t="s">
        <v>308</v>
      </c>
      <c r="H14" s="328" t="s">
        <v>249</v>
      </c>
      <c r="I14" s="328" t="s">
        <v>191</v>
      </c>
    </row>
    <row r="15" spans="1:9" ht="29" x14ac:dyDescent="0.35">
      <c r="A15" s="307"/>
      <c r="B15" s="307"/>
      <c r="C15" s="313" t="str">
        <f>Entries!B26</f>
        <v>Enter Investment Data</v>
      </c>
      <c r="D15" s="314"/>
      <c r="E15" s="313" t="s">
        <v>152</v>
      </c>
      <c r="F15" s="500" t="s">
        <v>368</v>
      </c>
      <c r="G15" s="506" t="s">
        <v>309</v>
      </c>
      <c r="H15" s="328" t="s">
        <v>250</v>
      </c>
      <c r="I15" s="328" t="s">
        <v>192</v>
      </c>
    </row>
    <row r="16" spans="1:9" x14ac:dyDescent="0.35">
      <c r="A16" s="307"/>
      <c r="B16" s="307"/>
      <c r="C16" s="313" t="str">
        <f>Entries!B27</f>
        <v>Purchase price, installation…(€)</v>
      </c>
      <c r="D16" s="314"/>
      <c r="E16" s="313" t="s">
        <v>63</v>
      </c>
      <c r="F16" s="500" t="s">
        <v>369</v>
      </c>
      <c r="G16" s="506" t="s">
        <v>310</v>
      </c>
      <c r="H16" s="328" t="s">
        <v>251</v>
      </c>
      <c r="I16" s="328" t="s">
        <v>193</v>
      </c>
    </row>
    <row r="17" spans="1:9" ht="29" x14ac:dyDescent="0.35">
      <c r="A17" s="307"/>
      <c r="B17" s="307"/>
      <c r="C17" s="313" t="str">
        <f>Entries!B31</f>
        <v>Enter Energy consumtion</v>
      </c>
      <c r="D17" s="314"/>
      <c r="E17" s="313" t="s">
        <v>151</v>
      </c>
      <c r="F17" s="500" t="s">
        <v>370</v>
      </c>
      <c r="G17" s="506" t="s">
        <v>311</v>
      </c>
      <c r="H17" s="328" t="s">
        <v>252</v>
      </c>
      <c r="I17" s="328" t="s">
        <v>194</v>
      </c>
    </row>
    <row r="18" spans="1:9" ht="29" x14ac:dyDescent="0.35">
      <c r="A18" s="307"/>
      <c r="B18" s="307"/>
      <c r="C18" s="313" t="str">
        <f>Entries!B32</f>
        <v>Average Power Demand over year (kW)</v>
      </c>
      <c r="D18" s="314"/>
      <c r="E18" s="313" t="s">
        <v>131</v>
      </c>
      <c r="F18" s="500" t="s">
        <v>371</v>
      </c>
      <c r="G18" s="506" t="s">
        <v>312</v>
      </c>
      <c r="H18" s="328" t="s">
        <v>253</v>
      </c>
      <c r="I18" s="328" t="s">
        <v>195</v>
      </c>
    </row>
    <row r="19" spans="1:9" ht="29" x14ac:dyDescent="0.35">
      <c r="A19" s="307"/>
      <c r="B19" s="307"/>
      <c r="C19" s="313" t="str">
        <f>Entries!B35</f>
        <v>or: Energy Consumption per year (kWh/a)</v>
      </c>
      <c r="D19" s="314"/>
      <c r="E19" s="313" t="s">
        <v>295</v>
      </c>
      <c r="F19" s="500" t="s">
        <v>372</v>
      </c>
      <c r="G19" s="506" t="s">
        <v>313</v>
      </c>
      <c r="H19" s="328" t="s">
        <v>296</v>
      </c>
      <c r="I19" s="328" t="s">
        <v>297</v>
      </c>
    </row>
    <row r="20" spans="1:9" ht="29" x14ac:dyDescent="0.35">
      <c r="A20" s="307"/>
      <c r="B20" s="307"/>
      <c r="C20" s="313" t="str">
        <f>Entries!B38</f>
        <v>Enter Further Costs (e. g. Maintenance)</v>
      </c>
      <c r="D20" s="314"/>
      <c r="E20" s="313" t="s">
        <v>85</v>
      </c>
      <c r="F20" s="500" t="s">
        <v>373</v>
      </c>
      <c r="G20" s="506" t="s">
        <v>314</v>
      </c>
      <c r="H20" s="328" t="s">
        <v>254</v>
      </c>
      <c r="I20" s="328" t="s">
        <v>196</v>
      </c>
    </row>
    <row r="21" spans="1:9" ht="29" x14ac:dyDescent="0.35">
      <c r="C21" s="313" t="str">
        <f>Entries!B40</f>
        <v>Further Costs per year [€]</v>
      </c>
      <c r="D21" s="314"/>
      <c r="E21" s="313" t="s">
        <v>89</v>
      </c>
      <c r="F21" s="500" t="s">
        <v>374</v>
      </c>
      <c r="G21" s="506" t="s">
        <v>315</v>
      </c>
      <c r="H21" s="328" t="s">
        <v>255</v>
      </c>
      <c r="I21" s="328" t="s">
        <v>197</v>
      </c>
    </row>
    <row r="22" spans="1:9" x14ac:dyDescent="0.35">
      <c r="C22" s="313" t="str">
        <f>Entries!B44</f>
        <v>Life Cycle</v>
      </c>
      <c r="D22" s="314"/>
      <c r="E22" s="313" t="s">
        <v>86</v>
      </c>
      <c r="F22" s="500" t="s">
        <v>375</v>
      </c>
      <c r="G22" s="506" t="s">
        <v>316</v>
      </c>
      <c r="H22" s="328" t="s">
        <v>256</v>
      </c>
      <c r="I22" s="328" t="s">
        <v>198</v>
      </c>
    </row>
    <row r="23" spans="1:9" x14ac:dyDescent="0.35">
      <c r="C23" s="313" t="str">
        <f>Entries!B49</f>
        <v>Costs at end of lifetime [€]</v>
      </c>
      <c r="D23" s="314"/>
      <c r="E23" s="313" t="s">
        <v>87</v>
      </c>
      <c r="F23" s="500" t="s">
        <v>376</v>
      </c>
      <c r="G23" s="506" t="s">
        <v>317</v>
      </c>
      <c r="H23" s="328" t="s">
        <v>257</v>
      </c>
      <c r="I23" s="328" t="s">
        <v>199</v>
      </c>
    </row>
    <row r="24" spans="1:9" ht="29" x14ac:dyDescent="0.35">
      <c r="C24" s="313" t="str">
        <f>Entries!B50</f>
        <v>Lifetime in operating hours [h]</v>
      </c>
      <c r="D24" s="314"/>
      <c r="E24" s="313" t="s">
        <v>88</v>
      </c>
      <c r="F24" s="500" t="s">
        <v>377</v>
      </c>
      <c r="G24" s="506" t="s">
        <v>318</v>
      </c>
      <c r="H24" s="328" t="s">
        <v>258</v>
      </c>
      <c r="I24" s="328" t="s">
        <v>200</v>
      </c>
    </row>
    <row r="25" spans="1:9" hidden="1" x14ac:dyDescent="0.35">
      <c r="C25" s="308" t="s">
        <v>136</v>
      </c>
      <c r="D25" s="314"/>
      <c r="E25" s="313" t="str">
        <f>E3</f>
        <v>English</v>
      </c>
      <c r="F25" s="501"/>
      <c r="G25" s="510"/>
      <c r="H25" s="329" t="s">
        <v>259</v>
      </c>
      <c r="I25" s="329"/>
    </row>
    <row r="26" spans="1:9" ht="43.5" x14ac:dyDescent="0.35">
      <c r="C26" s="313" t="str">
        <f>Results!G2</f>
        <v>Profitability Assessment for:</v>
      </c>
      <c r="D26" s="314"/>
      <c r="E26" s="313" t="s">
        <v>128</v>
      </c>
      <c r="F26" s="500" t="s">
        <v>378</v>
      </c>
      <c r="G26" s="506" t="s">
        <v>319</v>
      </c>
      <c r="H26" s="328" t="s">
        <v>259</v>
      </c>
      <c r="I26" s="328" t="s">
        <v>201</v>
      </c>
    </row>
    <row r="27" spans="1:9" x14ac:dyDescent="0.35">
      <c r="C27" s="313" t="str">
        <f>Results!G4</f>
        <v>in comparison to:</v>
      </c>
      <c r="D27" s="314"/>
      <c r="E27" s="313" t="s">
        <v>127</v>
      </c>
      <c r="F27" s="500" t="s">
        <v>379</v>
      </c>
      <c r="G27" s="506" t="s">
        <v>320</v>
      </c>
      <c r="H27" s="328" t="s">
        <v>260</v>
      </c>
      <c r="I27" s="328" t="s">
        <v>202</v>
      </c>
    </row>
    <row r="28" spans="1:9" x14ac:dyDescent="0.35">
      <c r="C28" s="313" t="str">
        <f>Results!D8</f>
        <v>Settings</v>
      </c>
      <c r="D28" s="314"/>
      <c r="E28" s="313" t="s">
        <v>93</v>
      </c>
      <c r="F28" s="500" t="s">
        <v>380</v>
      </c>
      <c r="G28" s="506" t="s">
        <v>321</v>
      </c>
      <c r="H28" s="328" t="s">
        <v>261</v>
      </c>
      <c r="I28" s="328" t="s">
        <v>203</v>
      </c>
    </row>
    <row r="29" spans="1:9" ht="43.5" x14ac:dyDescent="0.35">
      <c r="C29" s="313" t="str">
        <f>Results!D9</f>
        <v>Indicators are considered until end of year</v>
      </c>
      <c r="D29" s="314"/>
      <c r="E29" s="313" t="s">
        <v>102</v>
      </c>
      <c r="F29" s="500" t="s">
        <v>381</v>
      </c>
      <c r="G29" s="506" t="s">
        <v>322</v>
      </c>
      <c r="H29" s="328" t="s">
        <v>262</v>
      </c>
      <c r="I29" s="328" t="s">
        <v>204</v>
      </c>
    </row>
    <row r="30" spans="1:9" x14ac:dyDescent="0.35">
      <c r="C30" s="313" t="str">
        <f>Results!D10</f>
        <v>Energy Costs consider a price change per year of</v>
      </c>
      <c r="D30" s="314"/>
      <c r="E30" s="313" t="s">
        <v>94</v>
      </c>
      <c r="F30" s="500" t="s">
        <v>382</v>
      </c>
      <c r="G30" s="506" t="s">
        <v>323</v>
      </c>
      <c r="H30" s="328" t="s">
        <v>263</v>
      </c>
      <c r="I30" s="328" t="s">
        <v>205</v>
      </c>
    </row>
    <row r="31" spans="1:9" ht="43.5" x14ac:dyDescent="0.35">
      <c r="C31" s="313" t="str">
        <f>Results!D11</f>
        <v>Cash Flows are deducted by imputed interest rate per year of</v>
      </c>
      <c r="D31" s="314"/>
      <c r="E31" s="313" t="s">
        <v>103</v>
      </c>
      <c r="F31" s="500" t="s">
        <v>383</v>
      </c>
      <c r="G31" s="506" t="s">
        <v>324</v>
      </c>
      <c r="H31" s="328" t="s">
        <v>264</v>
      </c>
      <c r="I31" s="328" t="s">
        <v>206</v>
      </c>
    </row>
    <row r="32" spans="1:9" ht="29" x14ac:dyDescent="0.35">
      <c r="C32" s="313" t="str">
        <f>Results!D13</f>
        <v xml:space="preserve">Indicators for evaluating business case                                                                                    </v>
      </c>
      <c r="D32" s="314"/>
      <c r="E32" s="313" t="s">
        <v>71</v>
      </c>
      <c r="F32" s="500" t="s">
        <v>384</v>
      </c>
      <c r="G32" s="506" t="s">
        <v>325</v>
      </c>
      <c r="H32" s="328" t="s">
        <v>265</v>
      </c>
      <c r="I32" s="328" t="s">
        <v>207</v>
      </c>
    </row>
    <row r="33" spans="3:9" ht="58" x14ac:dyDescent="0.35">
      <c r="C33" s="313" t="str">
        <f>Results!D14</f>
        <v>Pay back time in years (time until Savings refinance investment)</v>
      </c>
      <c r="D33" s="314"/>
      <c r="E33" s="313" t="s">
        <v>129</v>
      </c>
      <c r="F33" s="500" t="s">
        <v>385</v>
      </c>
      <c r="G33" s="506" t="s">
        <v>326</v>
      </c>
      <c r="H33" s="328" t="s">
        <v>266</v>
      </c>
      <c r="I33" s="328" t="s">
        <v>208</v>
      </c>
    </row>
    <row r="34" spans="3:9" ht="43.5" x14ac:dyDescent="0.35">
      <c r="C34" s="313" t="str">
        <f>Results!D15</f>
        <v>Net Present Value (how much are all future cash flows worth today)</v>
      </c>
      <c r="D34" s="314"/>
      <c r="E34" s="313" t="s">
        <v>162</v>
      </c>
      <c r="F34" s="500" t="s">
        <v>386</v>
      </c>
      <c r="G34" s="506" t="s">
        <v>327</v>
      </c>
      <c r="H34" s="328" t="s">
        <v>292</v>
      </c>
      <c r="I34" s="328" t="s">
        <v>209</v>
      </c>
    </row>
    <row r="35" spans="3:9" ht="29" x14ac:dyDescent="0.35">
      <c r="C35" s="313" t="str">
        <f>Results!D16</f>
        <v>Annuity (Present Value devided by years)</v>
      </c>
      <c r="D35" s="314"/>
      <c r="E35" s="313" t="s">
        <v>130</v>
      </c>
      <c r="F35" s="500" t="s">
        <v>387</v>
      </c>
      <c r="G35" s="506" t="s">
        <v>328</v>
      </c>
      <c r="H35" s="328" t="s">
        <v>291</v>
      </c>
      <c r="I35" s="328" t="s">
        <v>210</v>
      </c>
    </row>
    <row r="36" spans="3:9" ht="43.5" x14ac:dyDescent="0.35">
      <c r="C36" s="313" t="str">
        <f>Results!D17</f>
        <v>Internal Rate of Return (yield, that would bring the same profitability)</v>
      </c>
      <c r="D36" s="314"/>
      <c r="E36" s="313" t="s">
        <v>180</v>
      </c>
      <c r="F36" s="500" t="s">
        <v>388</v>
      </c>
      <c r="G36" s="506" t="s">
        <v>329</v>
      </c>
      <c r="H36" s="328" t="s">
        <v>293</v>
      </c>
      <c r="I36" s="328" t="s">
        <v>211</v>
      </c>
    </row>
    <row r="37" spans="3:9" ht="43.5" x14ac:dyDescent="0.35">
      <c r="C37" s="313" t="str">
        <f>Results!D18</f>
        <v>ROI (here: Net Present Value devided by initial investment)</v>
      </c>
      <c r="D37" s="314"/>
      <c r="E37" s="313" t="s">
        <v>163</v>
      </c>
      <c r="F37" s="500" t="s">
        <v>389</v>
      </c>
      <c r="G37" s="506" t="s">
        <v>330</v>
      </c>
      <c r="H37" s="328" t="s">
        <v>294</v>
      </c>
      <c r="I37" s="328" t="s">
        <v>212</v>
      </c>
    </row>
    <row r="38" spans="3:9" x14ac:dyDescent="0.35">
      <c r="C38" s="313" t="str">
        <f>Results!D20</f>
        <v>Comparison (whole timeframe)</v>
      </c>
      <c r="D38" s="314"/>
      <c r="E38" s="313" t="s">
        <v>179</v>
      </c>
      <c r="F38" s="500" t="s">
        <v>390</v>
      </c>
      <c r="G38" s="506" t="s">
        <v>331</v>
      </c>
      <c r="H38" s="328" t="s">
        <v>267</v>
      </c>
      <c r="I38" s="328" t="s">
        <v>213</v>
      </c>
    </row>
    <row r="39" spans="3:9" x14ac:dyDescent="0.35">
      <c r="C39" s="313" t="str">
        <f>Results!G20</f>
        <v>Reference Situation</v>
      </c>
      <c r="D39" s="314"/>
      <c r="E39" s="313" t="s">
        <v>120</v>
      </c>
      <c r="F39" s="500" t="s">
        <v>363</v>
      </c>
      <c r="G39" s="506" t="s">
        <v>304</v>
      </c>
      <c r="H39" s="328" t="s">
        <v>246</v>
      </c>
      <c r="I39" s="328" t="s">
        <v>187</v>
      </c>
    </row>
    <row r="40" spans="3:9" x14ac:dyDescent="0.35">
      <c r="C40" s="313" t="str">
        <f>Results!H20</f>
        <v>Target Situation</v>
      </c>
      <c r="D40" s="314"/>
      <c r="E40" s="313" t="s">
        <v>119</v>
      </c>
      <c r="F40" s="500" t="s">
        <v>364</v>
      </c>
      <c r="G40" s="506" t="s">
        <v>305</v>
      </c>
      <c r="H40" s="328" t="s">
        <v>247</v>
      </c>
      <c r="I40" s="328" t="s">
        <v>188</v>
      </c>
    </row>
    <row r="41" spans="3:9" x14ac:dyDescent="0.35">
      <c r="C41" s="313" t="str">
        <f>Results!D21</f>
        <v>Investment</v>
      </c>
      <c r="D41" s="314"/>
      <c r="E41" s="313" t="s">
        <v>92</v>
      </c>
      <c r="F41" s="500" t="s">
        <v>391</v>
      </c>
      <c r="G41" s="506" t="s">
        <v>332</v>
      </c>
      <c r="H41" s="328" t="s">
        <v>30</v>
      </c>
      <c r="I41" s="328" t="s">
        <v>214</v>
      </c>
    </row>
    <row r="42" spans="3:9" x14ac:dyDescent="0.35">
      <c r="C42" s="313" t="str">
        <f>Results!D22</f>
        <v>Sum of Energy Costs</v>
      </c>
      <c r="D42" s="314"/>
      <c r="E42" s="313" t="s">
        <v>177</v>
      </c>
      <c r="F42" s="500" t="s">
        <v>392</v>
      </c>
      <c r="G42" s="506" t="s">
        <v>333</v>
      </c>
      <c r="H42" s="328" t="s">
        <v>268</v>
      </c>
      <c r="I42" s="328" t="s">
        <v>215</v>
      </c>
    </row>
    <row r="43" spans="3:9" ht="29" x14ac:dyDescent="0.35">
      <c r="C43" s="313" t="str">
        <f>Results!D23</f>
        <v>Sum of Further Costs</v>
      </c>
      <c r="D43" s="314"/>
      <c r="E43" s="313" t="s">
        <v>178</v>
      </c>
      <c r="F43" s="500" t="s">
        <v>393</v>
      </c>
      <c r="G43" s="506" t="s">
        <v>334</v>
      </c>
      <c r="H43" s="328" t="s">
        <v>269</v>
      </c>
      <c r="I43" s="328" t="s">
        <v>216</v>
      </c>
    </row>
    <row r="44" spans="3:9" ht="29" x14ac:dyDescent="0.35">
      <c r="C44" s="313" t="str">
        <f>Results!D24</f>
        <v>Costs for all Refurbishments</v>
      </c>
      <c r="D44" s="314"/>
      <c r="E44" s="313" t="s">
        <v>134</v>
      </c>
      <c r="F44" s="500" t="s">
        <v>394</v>
      </c>
      <c r="G44" s="506" t="s">
        <v>335</v>
      </c>
      <c r="H44" s="328" t="s">
        <v>270</v>
      </c>
      <c r="I44" s="328" t="s">
        <v>217</v>
      </c>
    </row>
    <row r="45" spans="3:9" x14ac:dyDescent="0.35">
      <c r="C45" s="313" t="str">
        <f>Results!D25</f>
        <v>(Amount of Refurbishments)</v>
      </c>
      <c r="D45" s="314"/>
      <c r="E45" s="313" t="s">
        <v>133</v>
      </c>
      <c r="F45" s="500" t="s">
        <v>395</v>
      </c>
      <c r="G45" s="506" t="s">
        <v>336</v>
      </c>
      <c r="H45" s="328" t="s">
        <v>271</v>
      </c>
      <c r="I45" s="328" t="s">
        <v>218</v>
      </c>
    </row>
    <row r="46" spans="3:9" x14ac:dyDescent="0.35">
      <c r="C46" s="313" t="str">
        <f>Results!D27</f>
        <v>Dates</v>
      </c>
      <c r="D46" s="314"/>
      <c r="E46" s="313" t="s">
        <v>72</v>
      </c>
      <c r="F46" s="500" t="s">
        <v>396</v>
      </c>
      <c r="G46" s="506" t="s">
        <v>72</v>
      </c>
      <c r="H46" s="328" t="s">
        <v>272</v>
      </c>
      <c r="I46" s="328" t="s">
        <v>219</v>
      </c>
    </row>
    <row r="47" spans="3:9" ht="78" x14ac:dyDescent="0.35">
      <c r="C47" s="313" t="str">
        <f>Results!D56</f>
        <v>Remark: Entered price change become effective from the second year onwards as it is assumed that the price is fixed for the first year</v>
      </c>
      <c r="D47" s="314"/>
      <c r="E47" s="302" t="s">
        <v>153</v>
      </c>
      <c r="F47" s="502" t="s">
        <v>397</v>
      </c>
      <c r="G47" s="511" t="s">
        <v>337</v>
      </c>
      <c r="H47" s="330" t="s">
        <v>273</v>
      </c>
      <c r="I47" s="330" t="s">
        <v>220</v>
      </c>
    </row>
    <row r="48" spans="3:9" ht="30" customHeight="1" x14ac:dyDescent="0.35">
      <c r="C48" s="313" t="str">
        <f>Results!D57</f>
        <v>Remark: We developed this tool under best knowledge. But we are not liable for anything</v>
      </c>
      <c r="D48" s="314"/>
      <c r="E48" s="303" t="s">
        <v>154</v>
      </c>
      <c r="F48" s="502" t="s">
        <v>398</v>
      </c>
      <c r="G48" s="511" t="s">
        <v>338</v>
      </c>
      <c r="H48" s="330" t="s">
        <v>274</v>
      </c>
      <c r="I48" s="330" t="s">
        <v>221</v>
      </c>
    </row>
    <row r="49" spans="2:9" hidden="1" x14ac:dyDescent="0.35">
      <c r="C49" s="317"/>
      <c r="E49" s="316"/>
      <c r="F49" s="503"/>
      <c r="G49" s="512"/>
      <c r="H49" s="331" t="s">
        <v>275</v>
      </c>
      <c r="I49" s="331"/>
    </row>
    <row r="50" spans="2:9" hidden="1" x14ac:dyDescent="0.35">
      <c r="C50" s="317"/>
      <c r="E50" s="316"/>
      <c r="F50" s="504"/>
      <c r="G50" s="512"/>
      <c r="H50" s="331" t="s">
        <v>276</v>
      </c>
      <c r="I50" s="331"/>
    </row>
    <row r="51" spans="2:9" x14ac:dyDescent="0.35">
      <c r="B51" s="318"/>
      <c r="C51" s="319" t="str">
        <f>Results!H27</f>
        <v>Cummulated Sum of Discounted Savings</v>
      </c>
      <c r="D51" s="314"/>
      <c r="E51" s="313" t="s">
        <v>121</v>
      </c>
      <c r="F51" s="500" t="s">
        <v>399</v>
      </c>
      <c r="G51" s="506" t="s">
        <v>339</v>
      </c>
      <c r="H51" s="328" t="s">
        <v>275</v>
      </c>
      <c r="I51" s="328" t="s">
        <v>222</v>
      </c>
    </row>
    <row r="52" spans="2:9" x14ac:dyDescent="0.35">
      <c r="C52" s="320"/>
      <c r="D52" s="314"/>
      <c r="E52" s="313" t="s">
        <v>123</v>
      </c>
      <c r="F52" s="500" t="s">
        <v>400</v>
      </c>
      <c r="G52" s="506" t="s">
        <v>340</v>
      </c>
      <c r="H52" s="328" t="s">
        <v>277</v>
      </c>
      <c r="I52" s="328" t="s">
        <v>223</v>
      </c>
    </row>
    <row r="53" spans="2:9" x14ac:dyDescent="0.35">
      <c r="C53" s="321"/>
      <c r="D53" s="314"/>
      <c r="E53" s="313" t="s">
        <v>73</v>
      </c>
      <c r="F53" s="500" t="s">
        <v>401</v>
      </c>
      <c r="G53" s="506" t="s">
        <v>341</v>
      </c>
      <c r="H53" s="328" t="s">
        <v>278</v>
      </c>
      <c r="I53" s="328" t="s">
        <v>224</v>
      </c>
    </row>
    <row r="54" spans="2:9" hidden="1" x14ac:dyDescent="0.35">
      <c r="B54" s="318"/>
      <c r="D54" s="314"/>
      <c r="E54" s="313"/>
      <c r="F54" s="500"/>
      <c r="G54" s="506" t="s">
        <v>342</v>
      </c>
      <c r="H54" s="328"/>
      <c r="I54" s="328"/>
    </row>
    <row r="55" spans="2:9" x14ac:dyDescent="0.35">
      <c r="C55" s="319" t="str">
        <f>Results!I27</f>
        <v>All Discounted Savings for the year</v>
      </c>
      <c r="D55" s="314"/>
      <c r="E55" s="313" t="s">
        <v>122</v>
      </c>
      <c r="F55" s="500" t="s">
        <v>402</v>
      </c>
      <c r="G55" s="507" t="s">
        <v>343</v>
      </c>
      <c r="H55" s="328" t="s">
        <v>279</v>
      </c>
      <c r="I55" s="328" t="s">
        <v>225</v>
      </c>
    </row>
    <row r="56" spans="2:9" x14ac:dyDescent="0.35">
      <c r="B56" s="318"/>
      <c r="C56" s="321"/>
      <c r="D56" s="314"/>
      <c r="E56" s="313" t="s">
        <v>144</v>
      </c>
      <c r="F56" s="500" t="s">
        <v>403</v>
      </c>
      <c r="G56" s="506" t="s">
        <v>344</v>
      </c>
      <c r="H56" s="328" t="s">
        <v>280</v>
      </c>
      <c r="I56" s="328" t="s">
        <v>226</v>
      </c>
    </row>
    <row r="57" spans="2:9" ht="29" x14ac:dyDescent="0.35">
      <c r="B57" s="318"/>
      <c r="C57" s="322" t="str">
        <f>Results!J27</f>
        <v>Discounted Savings regarding Energy Consumtion</v>
      </c>
      <c r="D57" s="314"/>
      <c r="E57" s="313" t="s">
        <v>145</v>
      </c>
      <c r="F57" s="500" t="s">
        <v>404</v>
      </c>
      <c r="G57" s="506" t="s">
        <v>345</v>
      </c>
      <c r="H57" s="328" t="s">
        <v>281</v>
      </c>
      <c r="I57" s="328" t="s">
        <v>227</v>
      </c>
    </row>
    <row r="58" spans="2:9" x14ac:dyDescent="0.35">
      <c r="B58" s="318"/>
      <c r="C58" s="322" t="str">
        <f>Results!K27</f>
        <v>Discounted further Savings</v>
      </c>
      <c r="D58" s="314"/>
      <c r="E58" s="313" t="s">
        <v>146</v>
      </c>
      <c r="F58" s="500" t="s">
        <v>405</v>
      </c>
      <c r="G58" s="506" t="s">
        <v>346</v>
      </c>
      <c r="H58" s="328" t="s">
        <v>282</v>
      </c>
      <c r="I58" s="328" t="s">
        <v>228</v>
      </c>
    </row>
    <row r="59" spans="2:9" ht="29" x14ac:dyDescent="0.35">
      <c r="C59" s="319" t="str">
        <f>Results!L27</f>
        <v>Discounted Savings regarding Reinvestments</v>
      </c>
      <c r="D59" s="314"/>
      <c r="E59" s="313" t="s">
        <v>147</v>
      </c>
      <c r="F59" s="500" t="s">
        <v>406</v>
      </c>
      <c r="G59" s="506" t="s">
        <v>347</v>
      </c>
      <c r="H59" s="328" t="s">
        <v>283</v>
      </c>
      <c r="I59" s="328" t="s">
        <v>229</v>
      </c>
    </row>
    <row r="60" spans="2:9" x14ac:dyDescent="0.35">
      <c r="C60" s="322" t="str">
        <f>Results!F29</f>
        <v>Discounted by</v>
      </c>
      <c r="D60" s="314"/>
      <c r="E60" s="313" t="s">
        <v>124</v>
      </c>
      <c r="F60" s="500" t="s">
        <v>407</v>
      </c>
      <c r="G60" s="506" t="s">
        <v>348</v>
      </c>
      <c r="H60" s="328" t="s">
        <v>284</v>
      </c>
      <c r="I60" s="328" t="s">
        <v>230</v>
      </c>
    </row>
    <row r="61" spans="2:9" x14ac:dyDescent="0.35">
      <c r="C61" s="322" t="str">
        <f>Results!D28</f>
        <v>Investment</v>
      </c>
      <c r="D61" s="314"/>
      <c r="E61" s="313" t="s">
        <v>92</v>
      </c>
      <c r="F61" s="500" t="s">
        <v>391</v>
      </c>
      <c r="G61" s="506" t="s">
        <v>332</v>
      </c>
      <c r="H61" s="328" t="s">
        <v>30</v>
      </c>
      <c r="I61" s="328" t="s">
        <v>214</v>
      </c>
    </row>
    <row r="62" spans="2:9" x14ac:dyDescent="0.35">
      <c r="C62" s="323" t="str">
        <f>Results!D29</f>
        <v xml:space="preserve">End of year </v>
      </c>
      <c r="D62" s="324"/>
      <c r="E62" s="313" t="s">
        <v>125</v>
      </c>
      <c r="F62" s="500" t="s">
        <v>408</v>
      </c>
      <c r="G62" s="506" t="s">
        <v>349</v>
      </c>
      <c r="H62" s="328" t="s">
        <v>285</v>
      </c>
      <c r="I62" s="328" t="s">
        <v>231</v>
      </c>
    </row>
    <row r="63" spans="2:9" x14ac:dyDescent="0.35">
      <c r="C63" s="322"/>
      <c r="D63" s="314"/>
      <c r="E63" s="313" t="s">
        <v>97</v>
      </c>
      <c r="F63" s="500" t="s">
        <v>409</v>
      </c>
      <c r="G63" s="506" t="s">
        <v>350</v>
      </c>
      <c r="H63" s="328" t="s">
        <v>286</v>
      </c>
      <c r="I63" s="328" t="s">
        <v>232</v>
      </c>
    </row>
    <row r="64" spans="2:9" x14ac:dyDescent="0.35">
      <c r="C64" s="322"/>
      <c r="D64" s="314"/>
      <c r="E64" s="313" t="s">
        <v>160</v>
      </c>
      <c r="F64" s="500" t="s">
        <v>410</v>
      </c>
      <c r="G64" s="506" t="s">
        <v>351</v>
      </c>
      <c r="H64" s="328" t="s">
        <v>287</v>
      </c>
      <c r="I64" s="328" t="s">
        <v>233</v>
      </c>
    </row>
    <row r="65" spans="4:9" ht="29" x14ac:dyDescent="0.35">
      <c r="D65" s="325"/>
      <c r="E65" s="313" t="s">
        <v>158</v>
      </c>
      <c r="F65" s="500" t="s">
        <v>411</v>
      </c>
      <c r="G65" s="506" t="s">
        <v>352</v>
      </c>
      <c r="H65" s="328" t="s">
        <v>288</v>
      </c>
      <c r="I65" s="328" t="s">
        <v>234</v>
      </c>
    </row>
    <row r="66" spans="4:9" x14ac:dyDescent="0.35">
      <c r="E66" s="337" t="s">
        <v>166</v>
      </c>
      <c r="F66" s="505" t="s">
        <v>412</v>
      </c>
      <c r="G66" s="506" t="s">
        <v>353</v>
      </c>
      <c r="H66" s="338" t="s">
        <v>167</v>
      </c>
      <c r="I66" s="338" t="s">
        <v>166</v>
      </c>
    </row>
    <row r="67" spans="4:9" ht="217.5" x14ac:dyDescent="0.35">
      <c r="E67" s="337" t="s">
        <v>173</v>
      </c>
      <c r="F67" s="505" t="s">
        <v>413</v>
      </c>
      <c r="G67" s="506" t="s">
        <v>354</v>
      </c>
      <c r="H67" s="338" t="s">
        <v>289</v>
      </c>
      <c r="I67" s="338" t="s">
        <v>235</v>
      </c>
    </row>
    <row r="68" spans="4:9" ht="29" x14ac:dyDescent="0.35">
      <c r="E68" s="337" t="s">
        <v>168</v>
      </c>
      <c r="F68" s="505" t="s">
        <v>414</v>
      </c>
      <c r="G68" s="506" t="s">
        <v>355</v>
      </c>
      <c r="H68" s="338" t="s">
        <v>169</v>
      </c>
      <c r="I68" s="338" t="s">
        <v>236</v>
      </c>
    </row>
    <row r="69" spans="4:9" ht="409.5" x14ac:dyDescent="0.35">
      <c r="E69" s="337" t="s">
        <v>174</v>
      </c>
      <c r="F69" s="505" t="s">
        <v>415</v>
      </c>
      <c r="G69" s="506" t="s">
        <v>356</v>
      </c>
      <c r="H69" s="338" t="s">
        <v>172</v>
      </c>
      <c r="I69" s="338" t="s">
        <v>237</v>
      </c>
    </row>
    <row r="70" spans="4:9" x14ac:dyDescent="0.35">
      <c r="E70" s="313" t="s">
        <v>170</v>
      </c>
      <c r="F70" s="505" t="s">
        <v>290</v>
      </c>
      <c r="G70" s="506" t="s">
        <v>238</v>
      </c>
      <c r="H70" s="338" t="s">
        <v>290</v>
      </c>
      <c r="I70" s="338" t="s">
        <v>238</v>
      </c>
    </row>
    <row r="71" spans="4:9" x14ac:dyDescent="0.35">
      <c r="E71" s="313" t="s">
        <v>171</v>
      </c>
      <c r="F71" s="505" t="s">
        <v>171</v>
      </c>
      <c r="G71" s="506" t="s">
        <v>239</v>
      </c>
      <c r="H71" s="338" t="s">
        <v>239</v>
      </c>
      <c r="I71" s="338" t="s">
        <v>239</v>
      </c>
    </row>
  </sheetData>
  <dataValidations disablePrompts="1" count="1">
    <dataValidation allowBlank="1" sqref="C48:E48 F49" xr:uid="{00000000-0002-0000-0400-000000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21</vt:i4>
      </vt:variant>
    </vt:vector>
  </HeadingPairs>
  <TitlesOfParts>
    <vt:vector size="25" baseType="lpstr">
      <vt:lpstr>Entries</vt:lpstr>
      <vt:lpstr>Results</vt:lpstr>
      <vt:lpstr>Disclaimer</vt:lpstr>
      <vt:lpstr>Translations (internal)</vt:lpstr>
      <vt:lpstr>'!'!Área_de_impresión</vt:lpstr>
      <vt:lpstr>Results!Área_de_impresión</vt:lpstr>
      <vt:lpstr>Art_Auswertung</vt:lpstr>
      <vt:lpstr>Energie</vt:lpstr>
      <vt:lpstr>Energie_I</vt:lpstr>
      <vt:lpstr>Energie_M</vt:lpstr>
      <vt:lpstr>Energieträger</vt:lpstr>
      <vt:lpstr>Jahre</vt:lpstr>
      <vt:lpstr>KWF</vt:lpstr>
      <vt:lpstr>kwf_E</vt:lpstr>
      <vt:lpstr>kwfe</vt:lpstr>
      <vt:lpstr>Leistung_I</vt:lpstr>
      <vt:lpstr>Leistung_M</vt:lpstr>
      <vt:lpstr>Liestung_M</vt:lpstr>
      <vt:lpstr>Personal</vt:lpstr>
      <vt:lpstr>Personal_array</vt:lpstr>
      <vt:lpstr>Variante1_KWF</vt:lpstr>
      <vt:lpstr>Variante1_KWFe</vt:lpstr>
      <vt:lpstr>Variante2_KWF</vt:lpstr>
      <vt:lpstr>Variante2_KWFe</vt:lpstr>
      <vt:lpstr>years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Ratjen</dc:creator>
  <cp:lastModifiedBy>Juan Garcia Cuadrado</cp:lastModifiedBy>
  <cp:lastPrinted>2014-02-13T17:10:34Z</cp:lastPrinted>
  <dcterms:created xsi:type="dcterms:W3CDTF">2013-02-28T10:17:08Z</dcterms:created>
  <dcterms:modified xsi:type="dcterms:W3CDTF">2019-06-14T08:09:18Z</dcterms:modified>
</cp:coreProperties>
</file>